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sanral-my.sharepoint.com/personal/mahlakwanat_sanral_co_za/Documents/Stakeholder/New Limpopo Projects/New Limpopo RRM Tenders_July 2026/Final_To Tender/180/"/>
    </mc:Choice>
  </mc:AlternateContent>
  <xr:revisionPtr revIDLastSave="42" documentId="13_ncr:1_{C96F7488-BB3A-4881-A2E9-1A5FC15108D4}" xr6:coauthVersionLast="47" xr6:coauthVersionMax="47" xr10:uidLastSave="{8900E7FF-E357-4AF5-AF33-66D7587A2AE0}"/>
  <bookViews>
    <workbookView xWindow="-96" yWindow="-96" windowWidth="23232" windowHeight="12432" tabRatio="718" activeTab="4" xr2:uid="{00000000-000D-0000-FFFF-FFFF00000000}"/>
  </bookViews>
  <sheets>
    <sheet name="TENDERER INPUT DATA" sheetId="52" r:id="rId1"/>
    <sheet name="PROJECT INPUT DATA" sheetId="50" state="hidden" r:id="rId2"/>
    <sheet name="RRM Pricing Schedule" sheetId="51" r:id="rId3"/>
    <sheet name="CE &amp; Other Hours" sheetId="53" r:id="rId4"/>
    <sheet name="FORM C2.4 FIN" sheetId="54" r:id="rId5"/>
    <sheet name="Notes" sheetId="23" state="hidden" r:id="rId6"/>
    <sheet name="F1 Forecast Combined" sheetId="24" state="hidden" r:id="rId7"/>
    <sheet name="F1 Forecast Consultant" sheetId="47" state="hidden" r:id="rId8"/>
    <sheet name="F1 Forecast Contractor" sheetId="46" state="hidden" r:id="rId9"/>
    <sheet name="F1  Cover" sheetId="25" state="hidden" r:id="rId10"/>
    <sheet name="Pg 1 Payment" sheetId="26" state="hidden" r:id="rId11"/>
    <sheet name="Pg 2 Sum Scheduled" sheetId="27" state="hidden" r:id="rId12"/>
    <sheet name="Pg 3 Travel" sheetId="28" state="hidden" r:id="rId13"/>
    <sheet name="Pg 5 Add. Duties" sheetId="30" state="hidden" r:id="rId14"/>
    <sheet name="Pg 4 P Sums" sheetId="29" state="hidden" r:id="rId15"/>
    <sheet name="Pg 6 WAF with CPI" sheetId="31" state="hidden" r:id="rId16"/>
    <sheet name="Pg 7 WAF No CPI" sheetId="32" state="hidden" r:id="rId17"/>
    <sheet name="Pg 8 Penalties" sheetId="33" state="hidden" r:id="rId18"/>
    <sheet name="Pg 9 CPI" sheetId="34" state="hidden" r:id="rId19"/>
    <sheet name="3200" sheetId="35" state="hidden" r:id="rId20"/>
    <sheet name="3300" sheetId="36" state="hidden" r:id="rId21"/>
    <sheet name="3400" sheetId="37" state="hidden" r:id="rId22"/>
    <sheet name="3500" sheetId="38" state="hidden" r:id="rId23"/>
    <sheet name="3600" sheetId="39" state="hidden" r:id="rId24"/>
    <sheet name="3700" sheetId="40" state="hidden" r:id="rId25"/>
    <sheet name="3800" sheetId="55" state="hidden" r:id="rId26"/>
    <sheet name="Travel Log" sheetId="43" state="hidden" r:id="rId27"/>
    <sheet name="DATA" sheetId="3" state="hidden" r:id="rId28"/>
  </sheets>
  <externalReferences>
    <externalReference r:id="rId29"/>
  </externalReferences>
  <definedNames>
    <definedName name="_Toc129491471" localSheetId="2">'RRM Pricing Schedule'!$A$10</definedName>
    <definedName name="_Toc129491882" localSheetId="2">'RRM Pricing Schedule'!$A$10</definedName>
    <definedName name="_Toc396298216" localSheetId="2">'RRM Pricing Schedule'!$A$151</definedName>
    <definedName name="MarkupCost" localSheetId="3">#REF!</definedName>
    <definedName name="MarkupCost" localSheetId="4">#REF!</definedName>
    <definedName name="MarkupCost" localSheetId="0">#REF!</definedName>
    <definedName name="MarkupExternal" localSheetId="3">#REF!</definedName>
    <definedName name="MarkupExternal" localSheetId="4">#REF!</definedName>
    <definedName name="MarkupExternal" localSheetId="0">#REF!</definedName>
    <definedName name="_xlnm.Print_Area" localSheetId="9">'F1  Cover'!$A$1:$P$49</definedName>
    <definedName name="_xlnm.Print_Area" localSheetId="6">'F1 Forecast Combined'!$A$1:$F$124</definedName>
    <definedName name="_xlnm.Print_Area" localSheetId="7">'F1 Forecast Consultant'!$A$1:$F$124</definedName>
    <definedName name="_xlnm.Print_Area" localSheetId="8">'F1 Forecast Contractor'!$A$1:$F$124</definedName>
    <definedName name="_xlnm.Print_Area" localSheetId="10">'Pg 1 Payment'!$A$1:$L$39</definedName>
    <definedName name="_xlnm.Print_Area" localSheetId="18">'Pg 9 CPI'!$A$1:$N$58</definedName>
    <definedName name="_xlnm.Print_Area" localSheetId="26">'Travel Log'!$A$1:$H$46</definedName>
    <definedName name="_xlnm.Print_Titles" localSheetId="20">'3300'!$1:$6</definedName>
    <definedName name="_xlnm.Print_Titles" localSheetId="21">'3400'!$1:$6</definedName>
    <definedName name="_xlnm.Print_Titles" localSheetId="22">'3500'!$1:$6</definedName>
    <definedName name="_xlnm.Print_Titles" localSheetId="23">'3600'!$1:$6</definedName>
    <definedName name="_xlnm.Print_Titles" localSheetId="24">'3700'!$1:$6</definedName>
    <definedName name="_xlnm.Print_Titles" localSheetId="25">'3800'!$1:$6</definedName>
    <definedName name="_xlnm.Print_Titles" localSheetId="3">'CE &amp; Other Hours'!$1:$2</definedName>
    <definedName name="_xlnm.Print_Titles" localSheetId="12">'Pg 3 Travel'!$1:$7</definedName>
    <definedName name="_xlnm.Print_Titles" localSheetId="2">'RRM Pricing Schedule'!$1:$5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54" l="1"/>
  <c r="D6" i="54" l="1"/>
  <c r="G25" i="53"/>
  <c r="CL52" i="3"/>
  <c r="F25" i="35" s="1"/>
  <c r="CK52" i="3"/>
  <c r="F24" i="35" s="1"/>
  <c r="CJ52" i="3"/>
  <c r="F22" i="35" s="1"/>
  <c r="CI52" i="3"/>
  <c r="F21" i="35" s="1"/>
  <c r="CH52" i="3"/>
  <c r="F20" i="35" s="1"/>
  <c r="CG52" i="3"/>
  <c r="F18" i="35" s="1"/>
  <c r="CF52" i="3"/>
  <c r="F17" i="35" s="1"/>
  <c r="CE52" i="3"/>
  <c r="F15" i="35" s="1"/>
  <c r="CD52" i="3"/>
  <c r="D25" i="35"/>
  <c r="D24" i="35"/>
  <c r="D22" i="35"/>
  <c r="D21" i="35"/>
  <c r="D20" i="35"/>
  <c r="E17" i="35"/>
  <c r="E15" i="35"/>
  <c r="E18" i="35"/>
  <c r="E14" i="35"/>
  <c r="L37" i="29"/>
  <c r="A29" i="29"/>
  <c r="A28" i="29"/>
  <c r="L36" i="29"/>
  <c r="L35" i="29"/>
  <c r="L34" i="29"/>
  <c r="L33" i="29"/>
  <c r="L32" i="29"/>
  <c r="L31" i="29"/>
  <c r="L30" i="29"/>
  <c r="L29" i="29"/>
  <c r="A20" i="29"/>
  <c r="A19" i="29"/>
  <c r="L27" i="29"/>
  <c r="L26" i="29"/>
  <c r="L25" i="29"/>
  <c r="L24" i="29"/>
  <c r="L23" i="29"/>
  <c r="L22" i="29"/>
  <c r="L21" i="29"/>
  <c r="L20" i="29"/>
  <c r="A13" i="35"/>
  <c r="B13" i="35"/>
  <c r="B14" i="35"/>
  <c r="CD50" i="3" s="1"/>
  <c r="C14" i="35"/>
  <c r="B15" i="35"/>
  <c r="CE50" i="3" s="1"/>
  <c r="C15" i="35"/>
  <c r="A16" i="35"/>
  <c r="B16" i="35"/>
  <c r="B17" i="35"/>
  <c r="CF50" i="3" s="1"/>
  <c r="C17" i="35"/>
  <c r="B18" i="35"/>
  <c r="CG50" i="3" s="1"/>
  <c r="C18" i="35"/>
  <c r="B19" i="35"/>
  <c r="C19" i="35"/>
  <c r="B20" i="35"/>
  <c r="CH50" i="3" s="1"/>
  <c r="C20" i="35"/>
  <c r="B21" i="35"/>
  <c r="CI50" i="3" s="1"/>
  <c r="C21" i="35"/>
  <c r="B22" i="35"/>
  <c r="CJ50" i="3" s="1"/>
  <c r="C22" i="35"/>
  <c r="B23" i="35"/>
  <c r="B24" i="35"/>
  <c r="CK50" i="3" s="1"/>
  <c r="C24" i="35"/>
  <c r="B25" i="35"/>
  <c r="CL50" i="3" s="1"/>
  <c r="C25" i="35"/>
  <c r="F24" i="51"/>
  <c r="F31" i="51"/>
  <c r="I25" i="35" s="1"/>
  <c r="F30" i="51"/>
  <c r="I24" i="35" s="1"/>
  <c r="F28" i="51"/>
  <c r="I22" i="35" s="1"/>
  <c r="F27" i="51"/>
  <c r="I21" i="35" s="1"/>
  <c r="F26" i="51"/>
  <c r="I20" i="35" s="1"/>
  <c r="F23" i="51"/>
  <c r="I17" i="35" s="1"/>
  <c r="F21" i="51"/>
  <c r="I15" i="35" s="1"/>
  <c r="F20" i="51"/>
  <c r="E107" i="51"/>
  <c r="E106" i="51"/>
  <c r="E105" i="51"/>
  <c r="E104" i="51"/>
  <c r="CC53" i="3"/>
  <c r="CC52" i="3"/>
  <c r="F10" i="55" s="1"/>
  <c r="E10" i="55"/>
  <c r="C10" i="55"/>
  <c r="B9" i="55"/>
  <c r="B10" i="55"/>
  <c r="B8" i="55"/>
  <c r="A8" i="55"/>
  <c r="B7" i="55"/>
  <c r="A7" i="55"/>
  <c r="K3" i="55"/>
  <c r="B3" i="55"/>
  <c r="CB52" i="3"/>
  <c r="F13" i="39" s="1"/>
  <c r="A189" i="29"/>
  <c r="A188" i="29"/>
  <c r="A197" i="29"/>
  <c r="L196" i="29"/>
  <c r="L195" i="29"/>
  <c r="L194" i="29"/>
  <c r="L193" i="29"/>
  <c r="L192" i="29"/>
  <c r="L191" i="29"/>
  <c r="L190" i="29"/>
  <c r="L189" i="29" s="1"/>
  <c r="I13" i="39"/>
  <c r="J13" i="39" s="1"/>
  <c r="E13" i="39"/>
  <c r="B13" i="39"/>
  <c r="C13" i="39"/>
  <c r="I18" i="35" l="1"/>
  <c r="H29" i="29"/>
  <c r="D25" i="51"/>
  <c r="F25" i="51" s="1"/>
  <c r="I14" i="35"/>
  <c r="K14" i="35" s="1"/>
  <c r="H20" i="29"/>
  <c r="K20" i="29" s="1"/>
  <c r="H25" i="35"/>
  <c r="N25" i="35" s="1"/>
  <c r="H24" i="35"/>
  <c r="H20" i="35"/>
  <c r="N20" i="35" s="1"/>
  <c r="H22" i="35"/>
  <c r="CJ53" i="3" s="1"/>
  <c r="H21" i="35"/>
  <c r="CI53" i="3" s="1"/>
  <c r="CH53" i="3"/>
  <c r="H17" i="35"/>
  <c r="CF53" i="3" s="1"/>
  <c r="F14" i="35"/>
  <c r="L25" i="35"/>
  <c r="J25" i="35"/>
  <c r="E25" i="35"/>
  <c r="K25" i="35" s="1"/>
  <c r="M25" i="35"/>
  <c r="J24" i="35"/>
  <c r="M24" i="35"/>
  <c r="L24" i="35"/>
  <c r="E24" i="35"/>
  <c r="K24" i="35" s="1"/>
  <c r="J22" i="35"/>
  <c r="L22" i="35"/>
  <c r="E22" i="35"/>
  <c r="K22" i="35" s="1"/>
  <c r="M22" i="35"/>
  <c r="L21" i="35"/>
  <c r="J21" i="35"/>
  <c r="M21" i="35"/>
  <c r="E21" i="35"/>
  <c r="K21" i="35" s="1"/>
  <c r="E20" i="35"/>
  <c r="L20" i="35"/>
  <c r="J20" i="35"/>
  <c r="M20" i="35"/>
  <c r="M17" i="35"/>
  <c r="K17" i="35"/>
  <c r="L17" i="35"/>
  <c r="J17" i="35"/>
  <c r="K15" i="35"/>
  <c r="J15" i="35"/>
  <c r="L15" i="35"/>
  <c r="M15" i="35"/>
  <c r="H15" i="35"/>
  <c r="K18" i="35"/>
  <c r="L18" i="35"/>
  <c r="J18" i="35"/>
  <c r="J14" i="35"/>
  <c r="K29" i="29"/>
  <c r="G18" i="35" s="1"/>
  <c r="CB50" i="3"/>
  <c r="CC50" i="3"/>
  <c r="K13" i="39"/>
  <c r="L13" i="39"/>
  <c r="B159" i="51"/>
  <c r="B26" i="25" s="1"/>
  <c r="B15" i="27" s="1"/>
  <c r="A159" i="51"/>
  <c r="A26" i="25" s="1"/>
  <c r="F108" i="51"/>
  <c r="H189" i="29" s="1"/>
  <c r="K189" i="29" s="1"/>
  <c r="B3" i="54"/>
  <c r="A2" i="54"/>
  <c r="B163" i="51"/>
  <c r="CA52" i="3"/>
  <c r="F51" i="38" s="1"/>
  <c r="BZ52" i="3"/>
  <c r="F50" i="38" s="1"/>
  <c r="BY52" i="3"/>
  <c r="F49" i="38" s="1"/>
  <c r="BX52" i="3"/>
  <c r="F48" i="38" s="1"/>
  <c r="BW52" i="3"/>
  <c r="F47" i="38" s="1"/>
  <c r="BV52" i="3"/>
  <c r="F46" i="38" s="1"/>
  <c r="BU52" i="3"/>
  <c r="F45" i="38" s="1"/>
  <c r="BT52" i="3"/>
  <c r="F44" i="38" s="1"/>
  <c r="BS52" i="3"/>
  <c r="I51" i="38"/>
  <c r="M51" i="38" s="1"/>
  <c r="I50" i="38"/>
  <c r="M50" i="38" s="1"/>
  <c r="D50" i="38"/>
  <c r="E50" i="38" s="1"/>
  <c r="I49" i="38"/>
  <c r="M49" i="38" s="1"/>
  <c r="D49" i="38"/>
  <c r="E49" i="38" s="1"/>
  <c r="I48" i="38"/>
  <c r="M48" i="38" s="1"/>
  <c r="D48" i="38"/>
  <c r="I47" i="38"/>
  <c r="M47" i="38" s="1"/>
  <c r="D47" i="38"/>
  <c r="E47" i="38" s="1"/>
  <c r="I46" i="38"/>
  <c r="M46" i="38" s="1"/>
  <c r="D46" i="38"/>
  <c r="E46" i="38" s="1"/>
  <c r="I45" i="38"/>
  <c r="M45" i="38" s="1"/>
  <c r="D45" i="38"/>
  <c r="E45" i="38" s="1"/>
  <c r="I44" i="38"/>
  <c r="M44" i="38" s="1"/>
  <c r="D44" i="38"/>
  <c r="E44" i="38" s="1"/>
  <c r="K44" i="38" s="1"/>
  <c r="A42" i="38"/>
  <c r="B42" i="38"/>
  <c r="B43" i="38"/>
  <c r="B44" i="38"/>
  <c r="BT50" i="3" s="1"/>
  <c r="C44" i="38"/>
  <c r="B45" i="38"/>
  <c r="BU50" i="3" s="1"/>
  <c r="C45" i="38"/>
  <c r="B46" i="38"/>
  <c r="BV50" i="3" s="1"/>
  <c r="C46" i="38"/>
  <c r="B47" i="38"/>
  <c r="BW50" i="3" s="1"/>
  <c r="C47" i="38"/>
  <c r="B48" i="38"/>
  <c r="BX50" i="3" s="1"/>
  <c r="C48" i="38"/>
  <c r="B49" i="38"/>
  <c r="BY50" i="3" s="1"/>
  <c r="C49" i="38"/>
  <c r="B50" i="38"/>
  <c r="BZ50" i="3" s="1"/>
  <c r="C50" i="38"/>
  <c r="B51" i="38"/>
  <c r="CA50" i="3" s="1"/>
  <c r="C51" i="38"/>
  <c r="L152" i="29"/>
  <c r="L153" i="29"/>
  <c r="L154" i="29"/>
  <c r="L155" i="29"/>
  <c r="L156" i="29"/>
  <c r="L157" i="29"/>
  <c r="L158" i="29"/>
  <c r="L150" i="29"/>
  <c r="L151" i="29"/>
  <c r="L159" i="29"/>
  <c r="L160" i="29"/>
  <c r="L161" i="29"/>
  <c r="L162" i="29"/>
  <c r="CL53" i="3" l="1"/>
  <c r="L14" i="35"/>
  <c r="G14" i="35"/>
  <c r="H14" i="35" s="1"/>
  <c r="N24" i="35"/>
  <c r="CK53" i="3"/>
  <c r="N22" i="35"/>
  <c r="N21" i="35"/>
  <c r="N17" i="35"/>
  <c r="M18" i="35"/>
  <c r="N15" i="35"/>
  <c r="CE53" i="3"/>
  <c r="M14" i="35"/>
  <c r="K20" i="35"/>
  <c r="H18" i="35"/>
  <c r="G13" i="39"/>
  <c r="M13" i="39" s="1"/>
  <c r="A15" i="27"/>
  <c r="N1" i="55"/>
  <c r="L26" i="25" s="1"/>
  <c r="D15" i="27" s="1"/>
  <c r="K50" i="38"/>
  <c r="K45" i="38"/>
  <c r="K49" i="38"/>
  <c r="K46" i="38"/>
  <c r="K47" i="38"/>
  <c r="J48" i="38"/>
  <c r="E48" i="38"/>
  <c r="K48" i="38" s="1"/>
  <c r="J50" i="38"/>
  <c r="J49" i="38"/>
  <c r="J47" i="38"/>
  <c r="J46" i="38"/>
  <c r="J45" i="38"/>
  <c r="J44" i="38"/>
  <c r="F10" i="38"/>
  <c r="H10" i="38" s="1"/>
  <c r="B10" i="38"/>
  <c r="BS50" i="3" s="1"/>
  <c r="C10" i="38"/>
  <c r="I10" i="38"/>
  <c r="L18" i="34"/>
  <c r="N18" i="34" s="1"/>
  <c r="L19" i="34"/>
  <c r="N19" i="34" s="1"/>
  <c r="L20" i="34"/>
  <c r="N20" i="34"/>
  <c r="L21" i="34"/>
  <c r="N21" i="34"/>
  <c r="L22" i="34"/>
  <c r="N22" i="34" s="1"/>
  <c r="L23" i="34"/>
  <c r="N23" i="34" s="1"/>
  <c r="L24" i="34"/>
  <c r="N24" i="34"/>
  <c r="L25" i="34"/>
  <c r="N25" i="34"/>
  <c r="L26" i="34"/>
  <c r="N26" i="34" s="1"/>
  <c r="L27" i="34"/>
  <c r="N27" i="34" s="1"/>
  <c r="L28" i="34"/>
  <c r="N28" i="34"/>
  <c r="L29" i="34"/>
  <c r="N29" i="34"/>
  <c r="L30" i="34"/>
  <c r="N30" i="34" s="1"/>
  <c r="L31" i="34"/>
  <c r="N31" i="34" s="1"/>
  <c r="L32" i="34"/>
  <c r="N32" i="34"/>
  <c r="L33" i="34"/>
  <c r="N33" i="34"/>
  <c r="L34" i="34"/>
  <c r="N34" i="34" s="1"/>
  <c r="L35" i="34"/>
  <c r="N35" i="34" s="1"/>
  <c r="L36" i="34"/>
  <c r="N36" i="34"/>
  <c r="L37" i="34"/>
  <c r="N37" i="34"/>
  <c r="L38" i="34"/>
  <c r="N38" i="34" s="1"/>
  <c r="L39" i="34"/>
  <c r="N39" i="34" s="1"/>
  <c r="L40" i="34"/>
  <c r="N40" i="34"/>
  <c r="L41" i="34"/>
  <c r="N41" i="34"/>
  <c r="L42" i="34"/>
  <c r="N42" i="34" s="1"/>
  <c r="L43" i="34"/>
  <c r="N43" i="34" s="1"/>
  <c r="L44" i="34"/>
  <c r="N44" i="34"/>
  <c r="L45" i="34"/>
  <c r="N45" i="34"/>
  <c r="L46" i="34"/>
  <c r="N46" i="34" s="1"/>
  <c r="L47" i="34"/>
  <c r="N47" i="34" s="1"/>
  <c r="L48" i="34"/>
  <c r="N48" i="34"/>
  <c r="L49" i="34"/>
  <c r="N49" i="34"/>
  <c r="L50" i="34"/>
  <c r="N50" i="34" s="1"/>
  <c r="L51" i="34"/>
  <c r="N51" i="34" s="1"/>
  <c r="L52" i="34"/>
  <c r="N52" i="34"/>
  <c r="L53" i="34"/>
  <c r="N53" i="34"/>
  <c r="L54" i="34"/>
  <c r="N54" i="34" s="1"/>
  <c r="L55" i="34"/>
  <c r="N55" i="34" s="1"/>
  <c r="L56" i="34"/>
  <c r="N56" i="34"/>
  <c r="L57" i="34"/>
  <c r="N57" i="34"/>
  <c r="E45" i="34"/>
  <c r="G45" i="34" s="1"/>
  <c r="E46" i="34"/>
  <c r="G46" i="34" s="1"/>
  <c r="E47" i="34"/>
  <c r="G47" i="34" s="1"/>
  <c r="E48" i="34"/>
  <c r="G48" i="34" s="1"/>
  <c r="E49" i="34"/>
  <c r="G49" i="34" s="1"/>
  <c r="E50" i="34"/>
  <c r="G50" i="34" s="1"/>
  <c r="E51" i="34"/>
  <c r="G51" i="34" s="1"/>
  <c r="E52" i="34"/>
  <c r="G52" i="34" s="1"/>
  <c r="E53" i="34"/>
  <c r="G53" i="34" s="1"/>
  <c r="E54" i="34"/>
  <c r="G54" i="34" s="1"/>
  <c r="E55" i="34"/>
  <c r="G55" i="34" s="1"/>
  <c r="E56" i="34"/>
  <c r="G56" i="34" s="1"/>
  <c r="E57" i="34"/>
  <c r="G57" i="34" s="1"/>
  <c r="P164" i="28"/>
  <c r="N164" i="28"/>
  <c r="F164" i="28"/>
  <c r="J164" i="28" s="1"/>
  <c r="L164" i="28" s="1"/>
  <c r="N163" i="28"/>
  <c r="P163" i="28" s="1"/>
  <c r="F163" i="28"/>
  <c r="J163" i="28" s="1"/>
  <c r="N162" i="28"/>
  <c r="F162" i="28"/>
  <c r="J162" i="28" s="1"/>
  <c r="L162" i="28" s="1"/>
  <c r="P161" i="28"/>
  <c r="N161" i="28"/>
  <c r="F161" i="28"/>
  <c r="J161" i="28" s="1"/>
  <c r="N160" i="28"/>
  <c r="P160" i="28" s="1"/>
  <c r="F160" i="28"/>
  <c r="J160" i="28" s="1"/>
  <c r="L160" i="28" s="1"/>
  <c r="N159" i="28"/>
  <c r="P159" i="28" s="1"/>
  <c r="F159" i="28"/>
  <c r="J159" i="28" s="1"/>
  <c r="L159" i="28" s="1"/>
  <c r="P158" i="28"/>
  <c r="N158" i="28"/>
  <c r="F158" i="28"/>
  <c r="J158" i="28" s="1"/>
  <c r="O158" i="28" s="1"/>
  <c r="N157" i="28"/>
  <c r="P157" i="28" s="1"/>
  <c r="F157" i="28"/>
  <c r="J157" i="28" s="1"/>
  <c r="L157" i="28" s="1"/>
  <c r="P156" i="28"/>
  <c r="N156" i="28"/>
  <c r="F156" i="28"/>
  <c r="J156" i="28" s="1"/>
  <c r="N155" i="28"/>
  <c r="P155" i="28" s="1"/>
  <c r="F155" i="28"/>
  <c r="J155" i="28" s="1"/>
  <c r="N154" i="28"/>
  <c r="F154" i="28"/>
  <c r="J154" i="28" s="1"/>
  <c r="L154" i="28" s="1"/>
  <c r="P153" i="28"/>
  <c r="N153" i="28"/>
  <c r="F153" i="28"/>
  <c r="J153" i="28" s="1"/>
  <c r="N152" i="28"/>
  <c r="P152" i="28" s="1"/>
  <c r="F152" i="28"/>
  <c r="J152" i="28" s="1"/>
  <c r="L152" i="28" s="1"/>
  <c r="P151" i="28"/>
  <c r="N151" i="28"/>
  <c r="F151" i="28"/>
  <c r="J151" i="28" s="1"/>
  <c r="L151" i="28" s="1"/>
  <c r="N150" i="28"/>
  <c r="P150" i="28" s="1"/>
  <c r="F150" i="28"/>
  <c r="J150" i="28" s="1"/>
  <c r="O150" i="28" s="1"/>
  <c r="N149" i="28"/>
  <c r="P149" i="28" s="1"/>
  <c r="F149" i="28"/>
  <c r="J149" i="28" s="1"/>
  <c r="L149" i="28" s="1"/>
  <c r="P148" i="28"/>
  <c r="N148" i="28"/>
  <c r="F148" i="28"/>
  <c r="J148" i="28" s="1"/>
  <c r="N147" i="28"/>
  <c r="P147" i="28" s="1"/>
  <c r="F147" i="28"/>
  <c r="J147" i="28" s="1"/>
  <c r="N146" i="28"/>
  <c r="F146" i="28"/>
  <c r="J146" i="28" s="1"/>
  <c r="L146" i="28" s="1"/>
  <c r="P145" i="28"/>
  <c r="N145" i="28"/>
  <c r="F145" i="28"/>
  <c r="J145" i="28" s="1"/>
  <c r="N144" i="28"/>
  <c r="P144" i="28" s="1"/>
  <c r="F144" i="28"/>
  <c r="J144" i="28" s="1"/>
  <c r="L144" i="28" s="1"/>
  <c r="P143" i="28"/>
  <c r="N143" i="28"/>
  <c r="F143" i="28"/>
  <c r="J143" i="28" s="1"/>
  <c r="L143" i="28" s="1"/>
  <c r="N142" i="28"/>
  <c r="P142" i="28" s="1"/>
  <c r="F142" i="28"/>
  <c r="J142" i="28" s="1"/>
  <c r="O142" i="28" s="1"/>
  <c r="N141" i="28"/>
  <c r="P141" i="28" s="1"/>
  <c r="F141" i="28"/>
  <c r="J141" i="28" s="1"/>
  <c r="L141" i="28" s="1"/>
  <c r="P140" i="28"/>
  <c r="N140" i="28"/>
  <c r="F140" i="28"/>
  <c r="J140" i="28" s="1"/>
  <c r="N139" i="28"/>
  <c r="P139" i="28" s="1"/>
  <c r="F139" i="28"/>
  <c r="J139" i="28" s="1"/>
  <c r="N132" i="28"/>
  <c r="P132" i="28" s="1"/>
  <c r="F132" i="28"/>
  <c r="J132" i="28" s="1"/>
  <c r="L132" i="28" s="1"/>
  <c r="N131" i="28"/>
  <c r="P131" i="28" s="1"/>
  <c r="F131" i="28"/>
  <c r="J131" i="28" s="1"/>
  <c r="L131" i="28" s="1"/>
  <c r="N130" i="28"/>
  <c r="P130" i="28" s="1"/>
  <c r="F130" i="28"/>
  <c r="J130" i="28" s="1"/>
  <c r="L130" i="28" s="1"/>
  <c r="N129" i="28"/>
  <c r="P129" i="28" s="1"/>
  <c r="F129" i="28"/>
  <c r="J129" i="28" s="1"/>
  <c r="N128" i="28"/>
  <c r="P128" i="28" s="1"/>
  <c r="F128" i="28"/>
  <c r="J128" i="28" s="1"/>
  <c r="L128" i="28" s="1"/>
  <c r="N127" i="28"/>
  <c r="F127" i="28"/>
  <c r="J127" i="28" s="1"/>
  <c r="L127" i="28" s="1"/>
  <c r="N126" i="28"/>
  <c r="P126" i="28" s="1"/>
  <c r="F126" i="28"/>
  <c r="J126" i="28" s="1"/>
  <c r="L126" i="28" s="1"/>
  <c r="N125" i="28"/>
  <c r="P125" i="28" s="1"/>
  <c r="F125" i="28"/>
  <c r="J125" i="28" s="1"/>
  <c r="L125" i="28" s="1"/>
  <c r="N124" i="28"/>
  <c r="P124" i="28" s="1"/>
  <c r="F124" i="28"/>
  <c r="J124" i="28" s="1"/>
  <c r="N123" i="28"/>
  <c r="P123" i="28" s="1"/>
  <c r="F123" i="28"/>
  <c r="J123" i="28" s="1"/>
  <c r="L123" i="28" s="1"/>
  <c r="N122" i="28"/>
  <c r="P122" i="28" s="1"/>
  <c r="F122" i="28"/>
  <c r="J122" i="28" s="1"/>
  <c r="N121" i="28"/>
  <c r="P121" i="28" s="1"/>
  <c r="F121" i="28"/>
  <c r="J121" i="28" s="1"/>
  <c r="L121" i="28" s="1"/>
  <c r="N120" i="28"/>
  <c r="P120" i="28" s="1"/>
  <c r="F120" i="28"/>
  <c r="J120" i="28" s="1"/>
  <c r="L120" i="28" s="1"/>
  <c r="N119" i="28"/>
  <c r="P119" i="28" s="1"/>
  <c r="F119" i="28"/>
  <c r="J119" i="28" s="1"/>
  <c r="L119" i="28" s="1"/>
  <c r="N118" i="28"/>
  <c r="P118" i="28" s="1"/>
  <c r="F118" i="28"/>
  <c r="J118" i="28" s="1"/>
  <c r="L118" i="28" s="1"/>
  <c r="P117" i="28"/>
  <c r="N117" i="28"/>
  <c r="F117" i="28"/>
  <c r="J117" i="28" s="1"/>
  <c r="L117" i="28" s="1"/>
  <c r="N116" i="28"/>
  <c r="P116" i="28" s="1"/>
  <c r="F116" i="28"/>
  <c r="J116" i="28" s="1"/>
  <c r="N115" i="28"/>
  <c r="F115" i="28"/>
  <c r="J115" i="28" s="1"/>
  <c r="L115" i="28" s="1"/>
  <c r="N114" i="28"/>
  <c r="P114" i="28" s="1"/>
  <c r="F114" i="28"/>
  <c r="J114" i="28" s="1"/>
  <c r="N113" i="28"/>
  <c r="F113" i="28"/>
  <c r="J113" i="28" s="1"/>
  <c r="L113" i="28" s="1"/>
  <c r="N112" i="28"/>
  <c r="F112" i="28"/>
  <c r="J112" i="28" s="1"/>
  <c r="L112" i="28" s="1"/>
  <c r="N111" i="28"/>
  <c r="F111" i="28"/>
  <c r="J111" i="28" s="1"/>
  <c r="L111" i="28" s="1"/>
  <c r="N110" i="28"/>
  <c r="P110" i="28" s="1"/>
  <c r="F110" i="28"/>
  <c r="J110" i="28" s="1"/>
  <c r="L110" i="28" s="1"/>
  <c r="N109" i="28"/>
  <c r="F109" i="28"/>
  <c r="J109" i="28" s="1"/>
  <c r="L109" i="28" s="1"/>
  <c r="N108" i="28"/>
  <c r="P108" i="28" s="1"/>
  <c r="F108" i="28"/>
  <c r="J108" i="28" s="1"/>
  <c r="N107" i="28"/>
  <c r="P107" i="28" s="1"/>
  <c r="F107" i="28"/>
  <c r="J107" i="28" s="1"/>
  <c r="L107" i="28" s="1"/>
  <c r="N100" i="28"/>
  <c r="P100" i="28" s="1"/>
  <c r="F100" i="28"/>
  <c r="J100" i="28" s="1"/>
  <c r="L100" i="28" s="1"/>
  <c r="N99" i="28"/>
  <c r="P99" i="28" s="1"/>
  <c r="F99" i="28"/>
  <c r="J99" i="28" s="1"/>
  <c r="L99" i="28" s="1"/>
  <c r="N98" i="28"/>
  <c r="P98" i="28" s="1"/>
  <c r="F98" i="28"/>
  <c r="J98" i="28" s="1"/>
  <c r="N97" i="28"/>
  <c r="P97" i="28" s="1"/>
  <c r="F97" i="28"/>
  <c r="J97" i="28" s="1"/>
  <c r="L97" i="28" s="1"/>
  <c r="N96" i="28"/>
  <c r="F96" i="28"/>
  <c r="J96" i="28" s="1"/>
  <c r="L96" i="28" s="1"/>
  <c r="N95" i="28"/>
  <c r="P95" i="28" s="1"/>
  <c r="F95" i="28"/>
  <c r="J95" i="28" s="1"/>
  <c r="L95" i="28" s="1"/>
  <c r="N94" i="28"/>
  <c r="P94" i="28" s="1"/>
  <c r="F94" i="28"/>
  <c r="J94" i="28" s="1"/>
  <c r="N93" i="28"/>
  <c r="P93" i="28" s="1"/>
  <c r="F93" i="28"/>
  <c r="J93" i="28" s="1"/>
  <c r="L93" i="28" s="1"/>
  <c r="N92" i="28"/>
  <c r="P92" i="28" s="1"/>
  <c r="F92" i="28"/>
  <c r="J92" i="28" s="1"/>
  <c r="N91" i="28"/>
  <c r="P91" i="28" s="1"/>
  <c r="F91" i="28"/>
  <c r="J91" i="28" s="1"/>
  <c r="L91" i="28" s="1"/>
  <c r="N90" i="28"/>
  <c r="P90" i="28" s="1"/>
  <c r="F90" i="28"/>
  <c r="J90" i="28" s="1"/>
  <c r="N89" i="28"/>
  <c r="P89" i="28" s="1"/>
  <c r="F89" i="28"/>
  <c r="J89" i="28" s="1"/>
  <c r="L89" i="28" s="1"/>
  <c r="N88" i="28"/>
  <c r="F88" i="28"/>
  <c r="J88" i="28" s="1"/>
  <c r="L88" i="28" s="1"/>
  <c r="N87" i="28"/>
  <c r="P87" i="28" s="1"/>
  <c r="F87" i="28"/>
  <c r="J87" i="28" s="1"/>
  <c r="L87" i="28" s="1"/>
  <c r="N86" i="28"/>
  <c r="P86" i="28" s="1"/>
  <c r="F86" i="28"/>
  <c r="J86" i="28" s="1"/>
  <c r="N85" i="28"/>
  <c r="P85" i="28" s="1"/>
  <c r="F85" i="28"/>
  <c r="J85" i="28" s="1"/>
  <c r="L85" i="28" s="1"/>
  <c r="N84" i="28"/>
  <c r="P84" i="28" s="1"/>
  <c r="F84" i="28"/>
  <c r="J84" i="28" s="1"/>
  <c r="N83" i="28"/>
  <c r="F83" i="28"/>
  <c r="J83" i="28" s="1"/>
  <c r="L83" i="28" s="1"/>
  <c r="N82" i="28"/>
  <c r="P82" i="28" s="1"/>
  <c r="F82" i="28"/>
  <c r="J82" i="28" s="1"/>
  <c r="N81" i="28"/>
  <c r="F81" i="28"/>
  <c r="J81" i="28" s="1"/>
  <c r="L81" i="28" s="1"/>
  <c r="N80" i="28"/>
  <c r="F80" i="28"/>
  <c r="J80" i="28" s="1"/>
  <c r="L80" i="28" s="1"/>
  <c r="N79" i="28"/>
  <c r="P79" i="28" s="1"/>
  <c r="F79" i="28"/>
  <c r="J79" i="28" s="1"/>
  <c r="L79" i="28" s="1"/>
  <c r="N78" i="28"/>
  <c r="P78" i="28" s="1"/>
  <c r="F78" i="28"/>
  <c r="J78" i="28" s="1"/>
  <c r="N77" i="28"/>
  <c r="P77" i="28" s="1"/>
  <c r="F77" i="28"/>
  <c r="J77" i="28" s="1"/>
  <c r="L77" i="28" s="1"/>
  <c r="N76" i="28"/>
  <c r="P76" i="28" s="1"/>
  <c r="F76" i="28"/>
  <c r="J76" i="28" s="1"/>
  <c r="N75" i="28"/>
  <c r="P75" i="28" s="1"/>
  <c r="F75" i="28"/>
  <c r="J75" i="28" s="1"/>
  <c r="L75" i="28" s="1"/>
  <c r="N68" i="28"/>
  <c r="P68" i="28" s="1"/>
  <c r="F68" i="28"/>
  <c r="J68" i="28" s="1"/>
  <c r="L68" i="28" s="1"/>
  <c r="N67" i="28"/>
  <c r="P67" i="28" s="1"/>
  <c r="F67" i="28"/>
  <c r="J67" i="28" s="1"/>
  <c r="L67" i="28" s="1"/>
  <c r="N66" i="28"/>
  <c r="P66" i="28" s="1"/>
  <c r="F66" i="28"/>
  <c r="J66" i="28" s="1"/>
  <c r="L66" i="28" s="1"/>
  <c r="N65" i="28"/>
  <c r="P65" i="28" s="1"/>
  <c r="F65" i="28"/>
  <c r="J65" i="28" s="1"/>
  <c r="N64" i="28"/>
  <c r="F64" i="28"/>
  <c r="J64" i="28" s="1"/>
  <c r="L64" i="28" s="1"/>
  <c r="N63" i="28"/>
  <c r="F63" i="28"/>
  <c r="J63" i="28" s="1"/>
  <c r="L63" i="28" s="1"/>
  <c r="N62" i="28"/>
  <c r="P62" i="28" s="1"/>
  <c r="F62" i="28"/>
  <c r="J62" i="28" s="1"/>
  <c r="L62" i="28" s="1"/>
  <c r="N61" i="28"/>
  <c r="P61" i="28" s="1"/>
  <c r="F61" i="28"/>
  <c r="J61" i="28" s="1"/>
  <c r="L61" i="28" s="1"/>
  <c r="N60" i="28"/>
  <c r="P60" i="28" s="1"/>
  <c r="F60" i="28"/>
  <c r="J60" i="28" s="1"/>
  <c r="N59" i="28"/>
  <c r="P59" i="28" s="1"/>
  <c r="F59" i="28"/>
  <c r="J59" i="28" s="1"/>
  <c r="L59" i="28" s="1"/>
  <c r="N58" i="28"/>
  <c r="P58" i="28" s="1"/>
  <c r="F58" i="28"/>
  <c r="J58" i="28" s="1"/>
  <c r="N57" i="28"/>
  <c r="P57" i="28" s="1"/>
  <c r="F57" i="28"/>
  <c r="J57" i="28" s="1"/>
  <c r="L57" i="28" s="1"/>
  <c r="N56" i="28"/>
  <c r="P56" i="28" s="1"/>
  <c r="F56" i="28"/>
  <c r="J56" i="28" s="1"/>
  <c r="L56" i="28" s="1"/>
  <c r="N55" i="28"/>
  <c r="P55" i="28" s="1"/>
  <c r="F55" i="28"/>
  <c r="J55" i="28" s="1"/>
  <c r="L55" i="28" s="1"/>
  <c r="N54" i="28"/>
  <c r="P54" i="28" s="1"/>
  <c r="F54" i="28"/>
  <c r="J54" i="28" s="1"/>
  <c r="L54" i="28" s="1"/>
  <c r="N53" i="28"/>
  <c r="P53" i="28" s="1"/>
  <c r="F53" i="28"/>
  <c r="J53" i="28" s="1"/>
  <c r="L53" i="28" s="1"/>
  <c r="N52" i="28"/>
  <c r="P52" i="28" s="1"/>
  <c r="F52" i="28"/>
  <c r="J52" i="28" s="1"/>
  <c r="N51" i="28"/>
  <c r="P51" i="28" s="1"/>
  <c r="F51" i="28"/>
  <c r="J51" i="28" s="1"/>
  <c r="L51" i="28" s="1"/>
  <c r="N50" i="28"/>
  <c r="P50" i="28" s="1"/>
  <c r="F50" i="28"/>
  <c r="J50" i="28" s="1"/>
  <c r="N49" i="28"/>
  <c r="P49" i="28" s="1"/>
  <c r="F49" i="28"/>
  <c r="J49" i="28" s="1"/>
  <c r="L49" i="28" s="1"/>
  <c r="N48" i="28"/>
  <c r="F48" i="28"/>
  <c r="J48" i="28" s="1"/>
  <c r="L48" i="28" s="1"/>
  <c r="N47" i="28"/>
  <c r="F47" i="28"/>
  <c r="J47" i="28" s="1"/>
  <c r="L47" i="28" s="1"/>
  <c r="N46" i="28"/>
  <c r="P46" i="28" s="1"/>
  <c r="F46" i="28"/>
  <c r="J46" i="28" s="1"/>
  <c r="L46" i="28" s="1"/>
  <c r="N45" i="28"/>
  <c r="P45" i="28" s="1"/>
  <c r="F45" i="28"/>
  <c r="J45" i="28" s="1"/>
  <c r="L45" i="28" s="1"/>
  <c r="N44" i="28"/>
  <c r="P44" i="28" s="1"/>
  <c r="F44" i="28"/>
  <c r="J44" i="28" s="1"/>
  <c r="N43" i="28"/>
  <c r="P43" i="28" s="1"/>
  <c r="F43" i="28"/>
  <c r="J43" i="28" s="1"/>
  <c r="L43" i="28" s="1"/>
  <c r="F23" i="28"/>
  <c r="J23" i="28" s="1"/>
  <c r="L23" i="28" s="1"/>
  <c r="N23" i="28"/>
  <c r="P23" i="28" s="1"/>
  <c r="F24" i="28"/>
  <c r="J24" i="28" s="1"/>
  <c r="N24" i="28"/>
  <c r="P24" i="28" s="1"/>
  <c r="F25" i="28"/>
  <c r="J25" i="28" s="1"/>
  <c r="L25" i="28" s="1"/>
  <c r="N25" i="28"/>
  <c r="F26" i="28"/>
  <c r="J26" i="28" s="1"/>
  <c r="N26" i="28"/>
  <c r="P26" i="28" s="1"/>
  <c r="F27" i="28"/>
  <c r="J27" i="28"/>
  <c r="L27" i="28" s="1"/>
  <c r="N27" i="28"/>
  <c r="F28" i="28"/>
  <c r="J28" i="28" s="1"/>
  <c r="N28" i="28"/>
  <c r="P28" i="28" s="1"/>
  <c r="F29" i="28"/>
  <c r="J29" i="28" s="1"/>
  <c r="L29" i="28" s="1"/>
  <c r="N29" i="28"/>
  <c r="P29" i="28" s="1"/>
  <c r="F30" i="28"/>
  <c r="J30" i="28" s="1"/>
  <c r="N30" i="28"/>
  <c r="P30" i="28" s="1"/>
  <c r="O164" i="28" l="1"/>
  <c r="Q164" i="28" s="1"/>
  <c r="O115" i="28"/>
  <c r="Q115" i="28" s="1"/>
  <c r="O112" i="28"/>
  <c r="Q112" i="28" s="1"/>
  <c r="O154" i="28"/>
  <c r="Q154" i="28" s="1"/>
  <c r="O155" i="28"/>
  <c r="L155" i="28"/>
  <c r="Q155" i="28" s="1"/>
  <c r="O153" i="28"/>
  <c r="L153" i="28"/>
  <c r="Q153" i="28" s="1"/>
  <c r="O147" i="28"/>
  <c r="L147" i="28"/>
  <c r="Q147" i="28" s="1"/>
  <c r="L145" i="28"/>
  <c r="O145" i="28"/>
  <c r="L139" i="28"/>
  <c r="O139" i="28"/>
  <c r="N18" i="35"/>
  <c r="CG53" i="3"/>
  <c r="N14" i="35"/>
  <c r="CD53" i="3"/>
  <c r="H13" i="39"/>
  <c r="CB53" i="3" s="1"/>
  <c r="N10" i="38"/>
  <c r="BS53" i="3"/>
  <c r="L10" i="38"/>
  <c r="M10" i="38"/>
  <c r="O146" i="28"/>
  <c r="O162" i="28"/>
  <c r="Q162" i="28" s="1"/>
  <c r="O148" i="28"/>
  <c r="L148" i="28"/>
  <c r="O163" i="28"/>
  <c r="L163" i="28"/>
  <c r="O156" i="28"/>
  <c r="L156" i="28"/>
  <c r="Q156" i="28" s="1"/>
  <c r="O140" i="28"/>
  <c r="L140" i="28"/>
  <c r="Q146" i="28"/>
  <c r="O143" i="28"/>
  <c r="Q143" i="28" s="1"/>
  <c r="L161" i="28"/>
  <c r="O161" i="28"/>
  <c r="O151" i="28"/>
  <c r="Q151" i="28" s="1"/>
  <c r="L142" i="28"/>
  <c r="Q142" i="28" s="1"/>
  <c r="O144" i="28"/>
  <c r="Q144" i="28" s="1"/>
  <c r="L150" i="28"/>
  <c r="Q150" i="28" s="1"/>
  <c r="O152" i="28"/>
  <c r="Q152" i="28" s="1"/>
  <c r="L158" i="28"/>
  <c r="Q158" i="28" s="1"/>
  <c r="O160" i="28"/>
  <c r="Q160" i="28" s="1"/>
  <c r="P146" i="28"/>
  <c r="O159" i="28"/>
  <c r="Q159" i="28" s="1"/>
  <c r="P154" i="28"/>
  <c r="P162" i="28"/>
  <c r="O141" i="28"/>
  <c r="Q141" i="28" s="1"/>
  <c r="O149" i="28"/>
  <c r="Q149" i="28" s="1"/>
  <c r="O157" i="28"/>
  <c r="Q157" i="28" s="1"/>
  <c r="O113" i="28"/>
  <c r="Q113" i="28" s="1"/>
  <c r="P113" i="28"/>
  <c r="O121" i="28"/>
  <c r="Q121" i="28" s="1"/>
  <c r="P115" i="28"/>
  <c r="O109" i="28"/>
  <c r="Q109" i="28" s="1"/>
  <c r="O111" i="28"/>
  <c r="Q111" i="28" s="1"/>
  <c r="P109" i="28"/>
  <c r="O108" i="28"/>
  <c r="L108" i="28"/>
  <c r="Q108" i="28" s="1"/>
  <c r="O116" i="28"/>
  <c r="L116" i="28"/>
  <c r="O124" i="28"/>
  <c r="L124" i="28"/>
  <c r="O130" i="28"/>
  <c r="Q130" i="28" s="1"/>
  <c r="O127" i="28"/>
  <c r="Q127" i="28" s="1"/>
  <c r="O114" i="28"/>
  <c r="L114" i="28"/>
  <c r="O117" i="28"/>
  <c r="Q117" i="28" s="1"/>
  <c r="O122" i="28"/>
  <c r="L122" i="28"/>
  <c r="O125" i="28"/>
  <c r="Q125" i="28" s="1"/>
  <c r="L129" i="28"/>
  <c r="O129" i="28"/>
  <c r="O107" i="28"/>
  <c r="Q107" i="28" s="1"/>
  <c r="O120" i="28"/>
  <c r="Q120" i="28" s="1"/>
  <c r="P112" i="28"/>
  <c r="O119" i="28"/>
  <c r="Q119" i="28" s="1"/>
  <c r="O110" i="28"/>
  <c r="Q110" i="28" s="1"/>
  <c r="P111" i="28"/>
  <c r="O118" i="28"/>
  <c r="Q118" i="28" s="1"/>
  <c r="O126" i="28"/>
  <c r="Q126" i="28" s="1"/>
  <c r="P127" i="28"/>
  <c r="O132" i="28"/>
  <c r="Q132" i="28" s="1"/>
  <c r="O128" i="28"/>
  <c r="Q128" i="28" s="1"/>
  <c r="O123" i="28"/>
  <c r="Q123" i="28" s="1"/>
  <c r="O131" i="28"/>
  <c r="Q131" i="28" s="1"/>
  <c r="O88" i="28"/>
  <c r="Q88" i="28" s="1"/>
  <c r="O91" i="28"/>
  <c r="Q91" i="28" s="1"/>
  <c r="O83" i="28"/>
  <c r="Q83" i="28" s="1"/>
  <c r="P83" i="28"/>
  <c r="O81" i="28"/>
  <c r="Q81" i="28" s="1"/>
  <c r="O75" i="28"/>
  <c r="Q75" i="28" s="1"/>
  <c r="O76" i="28"/>
  <c r="L76" i="28"/>
  <c r="L86" i="28"/>
  <c r="O86" i="28"/>
  <c r="O80" i="28"/>
  <c r="Q80" i="28" s="1"/>
  <c r="O92" i="28"/>
  <c r="L92" i="28"/>
  <c r="Q92" i="28" s="1"/>
  <c r="L90" i="28"/>
  <c r="O90" i="28"/>
  <c r="O99" i="28"/>
  <c r="Q99" i="28" s="1"/>
  <c r="O78" i="28"/>
  <c r="L78" i="28"/>
  <c r="O96" i="28"/>
  <c r="Q96" i="28" s="1"/>
  <c r="L98" i="28"/>
  <c r="O98" i="28"/>
  <c r="O84" i="28"/>
  <c r="L84" i="28"/>
  <c r="L82" i="28"/>
  <c r="O82" i="28"/>
  <c r="L94" i="28"/>
  <c r="O94" i="28"/>
  <c r="O97" i="28"/>
  <c r="Q97" i="28" s="1"/>
  <c r="O79" i="28"/>
  <c r="Q79" i="28" s="1"/>
  <c r="P80" i="28"/>
  <c r="O87" i="28"/>
  <c r="Q87" i="28" s="1"/>
  <c r="P88" i="28"/>
  <c r="O95" i="28"/>
  <c r="Q95" i="28" s="1"/>
  <c r="P96" i="28"/>
  <c r="O89" i="28"/>
  <c r="Q89" i="28" s="1"/>
  <c r="P81" i="28"/>
  <c r="O77" i="28"/>
  <c r="Q77" i="28" s="1"/>
  <c r="O85" i="28"/>
  <c r="Q85" i="28" s="1"/>
  <c r="O93" i="28"/>
  <c r="Q93" i="28" s="1"/>
  <c r="O100" i="28"/>
  <c r="Q100" i="28" s="1"/>
  <c r="O49" i="28"/>
  <c r="Q49" i="28" s="1"/>
  <c r="O57" i="28"/>
  <c r="Q57" i="28" s="1"/>
  <c r="O47" i="28"/>
  <c r="Q47" i="28" s="1"/>
  <c r="O66" i="28"/>
  <c r="Q66" i="28" s="1"/>
  <c r="O43" i="28"/>
  <c r="Q43" i="28" s="1"/>
  <c r="O60" i="28"/>
  <c r="L60" i="28"/>
  <c r="O63" i="28"/>
  <c r="Q63" i="28" s="1"/>
  <c r="L52" i="28"/>
  <c r="O52" i="28"/>
  <c r="O48" i="28"/>
  <c r="Q48" i="28" s="1"/>
  <c r="O44" i="28"/>
  <c r="L44" i="28"/>
  <c r="O64" i="28"/>
  <c r="Q64" i="28" s="1"/>
  <c r="O58" i="28"/>
  <c r="L58" i="28"/>
  <c r="L65" i="28"/>
  <c r="O65" i="28"/>
  <c r="O50" i="28"/>
  <c r="L50" i="28"/>
  <c r="O56" i="28"/>
  <c r="Q56" i="28" s="1"/>
  <c r="P48" i="28"/>
  <c r="O55" i="28"/>
  <c r="Q55" i="28" s="1"/>
  <c r="O46" i="28"/>
  <c r="Q46" i="28" s="1"/>
  <c r="O54" i="28"/>
  <c r="Q54" i="28" s="1"/>
  <c r="O62" i="28"/>
  <c r="Q62" i="28" s="1"/>
  <c r="P63" i="28"/>
  <c r="O45" i="28"/>
  <c r="Q45" i="28" s="1"/>
  <c r="O53" i="28"/>
  <c r="Q53" i="28" s="1"/>
  <c r="O61" i="28"/>
  <c r="Q61" i="28" s="1"/>
  <c r="P64" i="28"/>
  <c r="O68" i="28"/>
  <c r="Q68" i="28" s="1"/>
  <c r="P47" i="28"/>
  <c r="O51" i="28"/>
  <c r="Q51" i="28" s="1"/>
  <c r="O59" i="28"/>
  <c r="Q59" i="28" s="1"/>
  <c r="O67" i="28"/>
  <c r="Q67" i="28" s="1"/>
  <c r="O29" i="28"/>
  <c r="Q29" i="28" s="1"/>
  <c r="O23" i="28"/>
  <c r="Q23" i="28" s="1"/>
  <c r="O27" i="28"/>
  <c r="Q27" i="28" s="1"/>
  <c r="O25" i="28"/>
  <c r="Q25" i="28" s="1"/>
  <c r="L28" i="28"/>
  <c r="O28" i="28"/>
  <c r="L24" i="28"/>
  <c r="O24" i="28"/>
  <c r="L30" i="28"/>
  <c r="O30" i="28"/>
  <c r="O26" i="28"/>
  <c r="L26" i="28"/>
  <c r="P25" i="28"/>
  <c r="P27" i="28"/>
  <c r="F36" i="28"/>
  <c r="J36" i="28" s="1"/>
  <c r="F35" i="28"/>
  <c r="J35" i="28" s="1"/>
  <c r="F34" i="28"/>
  <c r="J34" i="28" s="1"/>
  <c r="F33" i="28"/>
  <c r="J33" i="28" s="1"/>
  <c r="F32" i="28"/>
  <c r="J32" i="28" s="1"/>
  <c r="F31" i="28"/>
  <c r="J31" i="28" s="1"/>
  <c r="F22" i="28"/>
  <c r="J22" i="28" s="1"/>
  <c r="F21" i="28"/>
  <c r="J21" i="28" s="1"/>
  <c r="F20" i="28"/>
  <c r="J20" i="28" s="1"/>
  <c r="F19" i="28"/>
  <c r="J19" i="28" s="1"/>
  <c r="F18" i="28"/>
  <c r="J18" i="28" s="1"/>
  <c r="F17" i="28"/>
  <c r="J17" i="28" s="1"/>
  <c r="F16" i="28"/>
  <c r="J16" i="28" s="1"/>
  <c r="F15" i="28"/>
  <c r="J15" i="28" s="1"/>
  <c r="F14" i="28"/>
  <c r="J14" i="28" s="1"/>
  <c r="F13" i="28"/>
  <c r="J13" i="28" s="1"/>
  <c r="F12" i="28"/>
  <c r="J12" i="28" s="1"/>
  <c r="F11" i="28"/>
  <c r="J11" i="28" s="1"/>
  <c r="F38" i="28"/>
  <c r="F37" i="28"/>
  <c r="F70" i="28"/>
  <c r="F69" i="28"/>
  <c r="F166" i="28"/>
  <c r="F165" i="28"/>
  <c r="F134" i="28"/>
  <c r="F133" i="28"/>
  <c r="C44" i="52"/>
  <c r="F102" i="28"/>
  <c r="F101" i="28"/>
  <c r="F169" i="28"/>
  <c r="F168" i="28"/>
  <c r="B11" i="23"/>
  <c r="C2" i="50"/>
  <c r="E3" i="54"/>
  <c r="H3" i="53"/>
  <c r="F1" i="51"/>
  <c r="F151" i="51"/>
  <c r="D98" i="51"/>
  <c r="F97" i="51"/>
  <c r="F96" i="51"/>
  <c r="F95" i="51"/>
  <c r="F94" i="51"/>
  <c r="F93" i="51"/>
  <c r="F92" i="51"/>
  <c r="F91" i="51"/>
  <c r="D127" i="51"/>
  <c r="D126" i="51"/>
  <c r="D116" i="51"/>
  <c r="D77" i="51"/>
  <c r="D65" i="51"/>
  <c r="D60" i="51"/>
  <c r="F60" i="51" s="1"/>
  <c r="D58" i="51"/>
  <c r="F58" i="51" s="1"/>
  <c r="D57" i="51"/>
  <c r="D33" i="53"/>
  <c r="D56" i="51"/>
  <c r="F16" i="53"/>
  <c r="F13" i="53"/>
  <c r="F10" i="53"/>
  <c r="F7" i="53"/>
  <c r="C9" i="53"/>
  <c r="C15" i="53" s="1"/>
  <c r="C8" i="53"/>
  <c r="C11" i="53" s="1"/>
  <c r="B9" i="53"/>
  <c r="B12" i="53" s="1"/>
  <c r="B8" i="53"/>
  <c r="B11" i="53" s="1"/>
  <c r="E16" i="53"/>
  <c r="E13" i="53"/>
  <c r="E10" i="53"/>
  <c r="E7" i="53"/>
  <c r="F6" i="53"/>
  <c r="F64" i="51"/>
  <c r="F61" i="51"/>
  <c r="D62" i="51" s="1"/>
  <c r="F62" i="51" s="1"/>
  <c r="C7" i="51"/>
  <c r="C2" i="53" s="1"/>
  <c r="Q139" i="28" l="1"/>
  <c r="Q145" i="28"/>
  <c r="Q161" i="28"/>
  <c r="P165" i="28"/>
  <c r="P166" i="28" s="1"/>
  <c r="O165" i="28"/>
  <c r="O166" i="28" s="1"/>
  <c r="N165" i="28"/>
  <c r="N166" i="28" s="1"/>
  <c r="M165" i="28"/>
  <c r="M166" i="28" s="1"/>
  <c r="L165" i="28"/>
  <c r="L166" i="28" s="1"/>
  <c r="K165" i="28"/>
  <c r="K166" i="28" s="1"/>
  <c r="H13" i="53"/>
  <c r="N13" i="39"/>
  <c r="F98" i="51"/>
  <c r="D51" i="38"/>
  <c r="F57" i="51"/>
  <c r="D10" i="38"/>
  <c r="A20" i="54"/>
  <c r="Q163" i="28"/>
  <c r="Q165" i="28" s="1"/>
  <c r="Q148" i="28"/>
  <c r="Q140" i="28"/>
  <c r="Q116" i="28"/>
  <c r="M133" i="28"/>
  <c r="M134" i="28" s="1"/>
  <c r="P133" i="28"/>
  <c r="P134" i="28" s="1"/>
  <c r="K133" i="28"/>
  <c r="K134" i="28" s="1"/>
  <c r="O133" i="28"/>
  <c r="O134" i="28" s="1"/>
  <c r="L133" i="28"/>
  <c r="L134" i="28" s="1"/>
  <c r="N133" i="28"/>
  <c r="N134" i="28" s="1"/>
  <c r="Q129" i="28"/>
  <c r="Q133" i="28" s="1"/>
  <c r="Q114" i="28"/>
  <c r="Q124" i="28"/>
  <c r="Q122" i="28"/>
  <c r="Q28" i="28"/>
  <c r="Q78" i="28"/>
  <c r="Q60" i="28"/>
  <c r="Q98" i="28"/>
  <c r="Q76" i="28"/>
  <c r="Q86" i="28"/>
  <c r="Q101" i="28"/>
  <c r="P101" i="28"/>
  <c r="P102" i="28" s="1"/>
  <c r="M101" i="28"/>
  <c r="M102" i="28" s="1"/>
  <c r="O101" i="28"/>
  <c r="O102" i="28" s="1"/>
  <c r="N101" i="28"/>
  <c r="N102" i="28" s="1"/>
  <c r="L101" i="28"/>
  <c r="L102" i="28" s="1"/>
  <c r="K101" i="28"/>
  <c r="K102" i="28" s="1"/>
  <c r="Q84" i="28"/>
  <c r="Q82" i="28"/>
  <c r="Q90" i="28"/>
  <c r="Q94" i="28"/>
  <c r="Q44" i="28"/>
  <c r="Q65" i="28"/>
  <c r="Q69" i="28" s="1"/>
  <c r="Q52" i="28"/>
  <c r="P69" i="28"/>
  <c r="P70" i="28" s="1"/>
  <c r="O69" i="28"/>
  <c r="O70" i="28" s="1"/>
  <c r="N69" i="28"/>
  <c r="N70" i="28" s="1"/>
  <c r="M69" i="28"/>
  <c r="M70" i="28" s="1"/>
  <c r="L69" i="28"/>
  <c r="L70" i="28" s="1"/>
  <c r="K69" i="28"/>
  <c r="K70" i="28" s="1"/>
  <c r="Q26" i="28"/>
  <c r="Q50" i="28"/>
  <c r="Q58" i="28"/>
  <c r="K37" i="28"/>
  <c r="K38" i="28" s="1"/>
  <c r="Q30" i="28"/>
  <c r="Q24" i="28"/>
  <c r="M37" i="28"/>
  <c r="M38" i="28" s="1"/>
  <c r="A19" i="54"/>
  <c r="B19" i="54"/>
  <c r="B20" i="54"/>
  <c r="H16" i="53"/>
  <c r="H10" i="53"/>
  <c r="E6" i="53"/>
  <c r="D20" i="53" s="1"/>
  <c r="E10" i="54" s="1"/>
  <c r="C14" i="53"/>
  <c r="B14" i="53"/>
  <c r="F14" i="53" s="1"/>
  <c r="G14" i="53" s="1"/>
  <c r="B15" i="53"/>
  <c r="B18" i="53"/>
  <c r="F18" i="53" s="1"/>
  <c r="G18" i="53" s="1"/>
  <c r="F9" i="53"/>
  <c r="G9" i="53" s="1"/>
  <c r="F11" i="53"/>
  <c r="G11" i="53" s="1"/>
  <c r="C18" i="53"/>
  <c r="H7" i="53"/>
  <c r="C12" i="53"/>
  <c r="F12" i="53"/>
  <c r="G12" i="53" s="1"/>
  <c r="B17" i="53"/>
  <c r="F8" i="53"/>
  <c r="C17" i="53"/>
  <c r="Q166" i="28" l="1"/>
  <c r="Q134" i="28"/>
  <c r="H6" i="53"/>
  <c r="D21" i="53" s="1"/>
  <c r="E10" i="38"/>
  <c r="K10" i="38" s="1"/>
  <c r="J10" i="38"/>
  <c r="E51" i="38"/>
  <c r="K51" i="38" s="1"/>
  <c r="J51" i="38"/>
  <c r="F15" i="53"/>
  <c r="Q102" i="28"/>
  <c r="Q70" i="28"/>
  <c r="G8" i="53"/>
  <c r="C19" i="54"/>
  <c r="F17" i="53"/>
  <c r="G17" i="53" s="1"/>
  <c r="G15" i="53" l="1"/>
  <c r="C20" i="54"/>
  <c r="D28" i="53"/>
  <c r="E37" i="51" s="1"/>
  <c r="D27" i="53"/>
  <c r="E15" i="51" s="1"/>
  <c r="D31" i="53"/>
  <c r="E141" i="51" s="1"/>
  <c r="F141" i="51" s="1"/>
  <c r="D30" i="53"/>
  <c r="D34" i="53" s="1"/>
  <c r="E56" i="51" l="1"/>
  <c r="F56" i="51" s="1"/>
  <c r="E20" i="54"/>
  <c r="D20" i="54"/>
  <c r="C22" i="54"/>
  <c r="C21" i="54"/>
  <c r="E19" i="54" s="1"/>
  <c r="F142" i="51"/>
  <c r="F159" i="51" s="1"/>
  <c r="G26" i="25" s="1"/>
  <c r="I10" i="55"/>
  <c r="E18" i="54" l="1"/>
  <c r="E11" i="54"/>
  <c r="D19" i="54"/>
  <c r="D18" i="54" s="1"/>
  <c r="K10" i="55"/>
  <c r="J10" i="55"/>
  <c r="M10" i="55"/>
  <c r="D24" i="50"/>
  <c r="C24" i="50"/>
  <c r="B24" i="50"/>
  <c r="D23" i="50"/>
  <c r="B23" i="50"/>
  <c r="C23" i="50"/>
  <c r="D17" i="50"/>
  <c r="D11" i="50"/>
  <c r="F4" i="52"/>
  <c r="D9" i="50"/>
  <c r="B28" i="26" s="1"/>
  <c r="D7" i="50"/>
  <c r="D5" i="50"/>
  <c r="A5" i="51" s="1"/>
  <c r="D3" i="50"/>
  <c r="K36" i="3"/>
  <c r="L36" i="3"/>
  <c r="K37" i="3"/>
  <c r="L37" i="3"/>
  <c r="K38" i="3"/>
  <c r="L38" i="3"/>
  <c r="K39" i="3"/>
  <c r="L39" i="3"/>
  <c r="K40" i="3"/>
  <c r="L40" i="3"/>
  <c r="K41" i="3"/>
  <c r="L41" i="3"/>
  <c r="P23" i="3"/>
  <c r="K11" i="55" l="1"/>
  <c r="F15" i="27" s="1"/>
  <c r="K15" i="55"/>
  <c r="K16" i="55" s="1"/>
  <c r="J15" i="55"/>
  <c r="J16" i="55" s="1"/>
  <c r="J11" i="55"/>
  <c r="E15" i="27" s="1"/>
  <c r="M11" i="55"/>
  <c r="H15" i="27" s="1"/>
  <c r="M15" i="55"/>
  <c r="M16" i="55" s="1"/>
  <c r="C3" i="51"/>
  <c r="B1" i="53"/>
  <c r="A42" i="25"/>
  <c r="I19" i="39"/>
  <c r="I16" i="39"/>
  <c r="BR56" i="3"/>
  <c r="BQ56" i="3"/>
  <c r="AE53" i="3" l="1"/>
  <c r="G20" i="26"/>
  <c r="B20" i="26"/>
  <c r="J8" i="34" l="1"/>
  <c r="L37" i="30"/>
  <c r="A9" i="30"/>
  <c r="E9" i="40"/>
  <c r="I10" i="40"/>
  <c r="C10" i="40"/>
  <c r="C9" i="40"/>
  <c r="B10" i="40"/>
  <c r="B9" i="40"/>
  <c r="BP50" i="3" s="1"/>
  <c r="B8" i="40"/>
  <c r="A8" i="40"/>
  <c r="B7" i="40"/>
  <c r="A7" i="40"/>
  <c r="K262" i="29" s="1"/>
  <c r="E27" i="39"/>
  <c r="E25" i="39"/>
  <c r="E24" i="39"/>
  <c r="J19" i="39"/>
  <c r="E19" i="39"/>
  <c r="A254" i="29"/>
  <c r="A253" i="29"/>
  <c r="A252" i="29"/>
  <c r="H232" i="29"/>
  <c r="A232" i="29"/>
  <c r="H224" i="29"/>
  <c r="A224" i="29"/>
  <c r="A216" i="29"/>
  <c r="A215" i="29"/>
  <c r="A207" i="29"/>
  <c r="A206" i="29"/>
  <c r="A198" i="29"/>
  <c r="A187" i="29"/>
  <c r="I28" i="39"/>
  <c r="I26" i="39"/>
  <c r="I20" i="39"/>
  <c r="I17" i="39"/>
  <c r="E30" i="39"/>
  <c r="E23" i="39"/>
  <c r="I32" i="39"/>
  <c r="M32" i="39" s="1"/>
  <c r="D32" i="39"/>
  <c r="I31" i="39"/>
  <c r="M31" i="39" s="1"/>
  <c r="D31" i="39"/>
  <c r="I21" i="39"/>
  <c r="M21" i="39" s="1"/>
  <c r="D21" i="39"/>
  <c r="E14" i="39"/>
  <c r="D10" i="39"/>
  <c r="E10" i="39" s="1"/>
  <c r="D11" i="39"/>
  <c r="E11" i="39" s="1"/>
  <c r="D12" i="39"/>
  <c r="E12" i="39" s="1"/>
  <c r="D9" i="39"/>
  <c r="I10" i="39"/>
  <c r="I11" i="39"/>
  <c r="M11" i="39" s="1"/>
  <c r="I12" i="39"/>
  <c r="M12" i="39" s="1"/>
  <c r="I14" i="39"/>
  <c r="J14" i="39" s="1"/>
  <c r="E16" i="39"/>
  <c r="I9" i="39"/>
  <c r="B31" i="39"/>
  <c r="BN50" i="3" s="1"/>
  <c r="C31" i="39"/>
  <c r="B32" i="39"/>
  <c r="BO50" i="3" s="1"/>
  <c r="C32" i="39"/>
  <c r="B28" i="39"/>
  <c r="C28" i="39"/>
  <c r="A29" i="39"/>
  <c r="B29" i="39"/>
  <c r="B30" i="39"/>
  <c r="BM50" i="3" s="1"/>
  <c r="C30" i="39"/>
  <c r="B9" i="39"/>
  <c r="BA50" i="3" s="1"/>
  <c r="C9" i="39"/>
  <c r="B10" i="39"/>
  <c r="BB50" i="3" s="1"/>
  <c r="C10" i="39"/>
  <c r="B11" i="39"/>
  <c r="BC50" i="3" s="1"/>
  <c r="C11" i="39"/>
  <c r="B12" i="39"/>
  <c r="BD50" i="3" s="1"/>
  <c r="C12" i="39"/>
  <c r="A14" i="39"/>
  <c r="B14" i="39"/>
  <c r="BE50" i="3" s="1"/>
  <c r="C14" i="39"/>
  <c r="A15" i="39"/>
  <c r="B15" i="39"/>
  <c r="B16" i="39"/>
  <c r="BF50" i="3" s="1"/>
  <c r="C16" i="39"/>
  <c r="B17" i="39"/>
  <c r="C17" i="39"/>
  <c r="A18" i="39"/>
  <c r="B18" i="39"/>
  <c r="B19" i="39"/>
  <c r="BG50" i="3" s="1"/>
  <c r="C19" i="39"/>
  <c r="B20" i="39"/>
  <c r="C20" i="39"/>
  <c r="A21" i="39"/>
  <c r="B21" i="39"/>
  <c r="BH50" i="3" s="1"/>
  <c r="C21" i="39"/>
  <c r="A22" i="39"/>
  <c r="B22" i="39"/>
  <c r="B23" i="39"/>
  <c r="BI50" i="3" s="1"/>
  <c r="C23" i="39"/>
  <c r="B24" i="39"/>
  <c r="BJ50" i="3" s="1"/>
  <c r="C24" i="39"/>
  <c r="B25" i="39"/>
  <c r="BK50" i="3" s="1"/>
  <c r="C25" i="39"/>
  <c r="B26" i="39"/>
  <c r="C26" i="39"/>
  <c r="B27" i="39"/>
  <c r="BL50" i="3" s="1"/>
  <c r="C27" i="39"/>
  <c r="B8" i="39"/>
  <c r="A8" i="39"/>
  <c r="B7" i="39"/>
  <c r="A7" i="39"/>
  <c r="K240" i="29" s="1"/>
  <c r="E36" i="38"/>
  <c r="E34" i="38"/>
  <c r="E31" i="38"/>
  <c r="E28" i="38"/>
  <c r="E26" i="38"/>
  <c r="E24" i="38"/>
  <c r="E20" i="38"/>
  <c r="E17" i="38"/>
  <c r="I35" i="38"/>
  <c r="I32" i="38"/>
  <c r="I29" i="38"/>
  <c r="I27" i="38"/>
  <c r="I25" i="38"/>
  <c r="I21" i="38"/>
  <c r="H167" i="29"/>
  <c r="A167" i="29"/>
  <c r="A148" i="29"/>
  <c r="L166" i="29"/>
  <c r="L165" i="29"/>
  <c r="L164" i="29"/>
  <c r="L163" i="29"/>
  <c r="L149" i="29"/>
  <c r="A147" i="29"/>
  <c r="H139" i="29"/>
  <c r="A139" i="29"/>
  <c r="H131" i="29"/>
  <c r="A131" i="29"/>
  <c r="A123" i="29"/>
  <c r="A115" i="29"/>
  <c r="A114" i="29"/>
  <c r="A105" i="29"/>
  <c r="H106" i="29"/>
  <c r="A106" i="29"/>
  <c r="H97" i="29"/>
  <c r="A97" i="29"/>
  <c r="A89" i="29"/>
  <c r="L113" i="29"/>
  <c r="L112" i="29"/>
  <c r="L111" i="29"/>
  <c r="L110" i="29"/>
  <c r="L109" i="29"/>
  <c r="L108" i="29"/>
  <c r="L107" i="29"/>
  <c r="L122" i="29"/>
  <c r="L121" i="29"/>
  <c r="L120" i="29"/>
  <c r="L119" i="29"/>
  <c r="L118" i="29"/>
  <c r="L117" i="29"/>
  <c r="L116" i="29"/>
  <c r="L130" i="29"/>
  <c r="L129" i="29"/>
  <c r="L128" i="29"/>
  <c r="L127" i="29"/>
  <c r="L126" i="29"/>
  <c r="L125" i="29"/>
  <c r="L124" i="29"/>
  <c r="L138" i="29"/>
  <c r="L137" i="29"/>
  <c r="L136" i="29"/>
  <c r="L135" i="29"/>
  <c r="L134" i="29"/>
  <c r="L133" i="29"/>
  <c r="L132" i="29"/>
  <c r="L104" i="29"/>
  <c r="L103" i="29"/>
  <c r="L102" i="29"/>
  <c r="L101" i="29"/>
  <c r="L100" i="29"/>
  <c r="L99" i="29"/>
  <c r="L98" i="29"/>
  <c r="L96" i="29"/>
  <c r="L95" i="29"/>
  <c r="L94" i="29"/>
  <c r="L93" i="29"/>
  <c r="L92" i="29"/>
  <c r="L91" i="29"/>
  <c r="L90" i="29"/>
  <c r="A81" i="29"/>
  <c r="L88" i="29"/>
  <c r="L87" i="29"/>
  <c r="L86" i="29"/>
  <c r="L85" i="29"/>
  <c r="L84" i="29"/>
  <c r="L83" i="29"/>
  <c r="L82" i="29"/>
  <c r="A73" i="29"/>
  <c r="L80" i="29"/>
  <c r="L79" i="29"/>
  <c r="L78" i="29"/>
  <c r="L77" i="29"/>
  <c r="L76" i="29"/>
  <c r="L75" i="29"/>
  <c r="L74" i="29"/>
  <c r="L168" i="29"/>
  <c r="L169" i="29"/>
  <c r="L170" i="29"/>
  <c r="L171" i="29"/>
  <c r="L172" i="29"/>
  <c r="L174" i="29"/>
  <c r="L173" i="29"/>
  <c r="E22" i="38"/>
  <c r="I18" i="38"/>
  <c r="M18" i="38" s="1"/>
  <c r="D18" i="38"/>
  <c r="I30" i="38"/>
  <c r="M30" i="38" s="1"/>
  <c r="D30" i="38"/>
  <c r="I38" i="38"/>
  <c r="M38" i="38" s="1"/>
  <c r="D38" i="38"/>
  <c r="I39" i="38"/>
  <c r="M39" i="38" s="1"/>
  <c r="D39" i="38"/>
  <c r="I40" i="38"/>
  <c r="M40" i="38" s="1"/>
  <c r="D40" i="38"/>
  <c r="I41" i="38"/>
  <c r="M41" i="38" s="1"/>
  <c r="D41" i="38"/>
  <c r="A72" i="29"/>
  <c r="A71" i="29"/>
  <c r="I15" i="38"/>
  <c r="E14" i="38"/>
  <c r="I13" i="38"/>
  <c r="M13" i="38" s="1"/>
  <c r="D13" i="38"/>
  <c r="D11" i="38"/>
  <c r="D9" i="38"/>
  <c r="I11" i="38"/>
  <c r="I9" i="38"/>
  <c r="A37" i="38"/>
  <c r="B37" i="38"/>
  <c r="B38" i="38"/>
  <c r="AW50" i="3" s="1"/>
  <c r="C38" i="38"/>
  <c r="B39" i="38"/>
  <c r="AX50" i="3" s="1"/>
  <c r="C39" i="38"/>
  <c r="B40" i="38"/>
  <c r="AY50" i="3" s="1"/>
  <c r="C40" i="38"/>
  <c r="A41" i="38"/>
  <c r="B41" i="38"/>
  <c r="AZ50" i="3" s="1"/>
  <c r="C41" i="38"/>
  <c r="B35" i="38"/>
  <c r="C35" i="38"/>
  <c r="B36" i="38"/>
  <c r="AV50" i="3" s="1"/>
  <c r="C36" i="38"/>
  <c r="B30" i="38"/>
  <c r="AS50" i="3" s="1"/>
  <c r="C30" i="38"/>
  <c r="B31" i="38"/>
  <c r="AT50" i="3" s="1"/>
  <c r="C31" i="38"/>
  <c r="B32" i="38"/>
  <c r="C32" i="38"/>
  <c r="A33" i="38"/>
  <c r="B33" i="38"/>
  <c r="B34" i="38"/>
  <c r="AU50" i="3" s="1"/>
  <c r="C34" i="38"/>
  <c r="B9" i="38"/>
  <c r="AF50" i="3" s="1"/>
  <c r="C9" i="38"/>
  <c r="B11" i="38"/>
  <c r="AG50" i="3" s="1"/>
  <c r="C11" i="38"/>
  <c r="B12" i="38"/>
  <c r="B13" i="38"/>
  <c r="AH50" i="3" s="1"/>
  <c r="C13" i="38"/>
  <c r="B14" i="38"/>
  <c r="AI50" i="3" s="1"/>
  <c r="C14" i="38"/>
  <c r="B15" i="38"/>
  <c r="C15" i="38"/>
  <c r="B16" i="38"/>
  <c r="B17" i="38"/>
  <c r="AJ50" i="3" s="1"/>
  <c r="C17" i="38"/>
  <c r="AK50" i="3"/>
  <c r="AL50" i="3"/>
  <c r="B18" i="38"/>
  <c r="AM50" i="3" s="1"/>
  <c r="C18" i="38"/>
  <c r="A19" i="38"/>
  <c r="B19" i="38"/>
  <c r="B20" i="38"/>
  <c r="AN50" i="3" s="1"/>
  <c r="C20" i="38"/>
  <c r="B21" i="38"/>
  <c r="C21" i="38"/>
  <c r="B22" i="38"/>
  <c r="AO50" i="3" s="1"/>
  <c r="C22" i="38"/>
  <c r="A23" i="38"/>
  <c r="B23" i="38"/>
  <c r="B24" i="38"/>
  <c r="AP50" i="3" s="1"/>
  <c r="C24" i="38"/>
  <c r="B25" i="38"/>
  <c r="C25" i="38"/>
  <c r="B26" i="38"/>
  <c r="AQ50" i="3" s="1"/>
  <c r="C26" i="38"/>
  <c r="B27" i="38"/>
  <c r="C27" i="38"/>
  <c r="B28" i="38"/>
  <c r="AR50" i="3" s="1"/>
  <c r="C28" i="38"/>
  <c r="B29" i="38"/>
  <c r="C29" i="38"/>
  <c r="B8" i="38"/>
  <c r="A8" i="38"/>
  <c r="B7" i="38"/>
  <c r="A7" i="38"/>
  <c r="K175" i="29" s="1"/>
  <c r="I11" i="37"/>
  <c r="I10" i="36"/>
  <c r="A51" i="29"/>
  <c r="A50" i="29"/>
  <c r="A49" i="29"/>
  <c r="E9" i="37"/>
  <c r="E10" i="37"/>
  <c r="E14" i="37"/>
  <c r="E15" i="37"/>
  <c r="E13" i="37"/>
  <c r="A15" i="37"/>
  <c r="A12" i="37"/>
  <c r="C10" i="37"/>
  <c r="C11" i="37"/>
  <c r="C13" i="37"/>
  <c r="C14" i="37"/>
  <c r="C15" i="37"/>
  <c r="C9" i="37"/>
  <c r="B14" i="37"/>
  <c r="AD50" i="3" s="1"/>
  <c r="B15" i="37"/>
  <c r="AE50" i="3" s="1"/>
  <c r="B10" i="37"/>
  <c r="AB50" i="3" s="1"/>
  <c r="B11" i="37"/>
  <c r="B12" i="37"/>
  <c r="B13" i="37"/>
  <c r="AC50" i="3" s="1"/>
  <c r="B9" i="37"/>
  <c r="AA50" i="3" s="1"/>
  <c r="B8" i="37"/>
  <c r="A8" i="37"/>
  <c r="B7" i="37"/>
  <c r="A7" i="37"/>
  <c r="A11" i="29"/>
  <c r="A10" i="29"/>
  <c r="A9" i="29"/>
  <c r="D10" i="36"/>
  <c r="C10" i="36"/>
  <c r="B10" i="36"/>
  <c r="Z50" i="3" s="1"/>
  <c r="C9" i="36"/>
  <c r="B9" i="36"/>
  <c r="Y50" i="3" s="1"/>
  <c r="B8" i="36"/>
  <c r="A8" i="36"/>
  <c r="B7" i="36"/>
  <c r="A7" i="36"/>
  <c r="E12" i="35"/>
  <c r="C12" i="35"/>
  <c r="B12" i="35"/>
  <c r="X50" i="3" s="1"/>
  <c r="A12" i="35"/>
  <c r="E11" i="35"/>
  <c r="C11" i="35"/>
  <c r="B11" i="35"/>
  <c r="W50" i="3" s="1"/>
  <c r="C10" i="35"/>
  <c r="B10" i="35"/>
  <c r="C9" i="35"/>
  <c r="B9" i="35"/>
  <c r="B8" i="35"/>
  <c r="A8" i="35"/>
  <c r="B7" i="35"/>
  <c r="A7" i="35"/>
  <c r="K37" i="29" s="1"/>
  <c r="E16" i="46"/>
  <c r="B16" i="46" s="1"/>
  <c r="B11" i="47"/>
  <c r="B12" i="47"/>
  <c r="B9" i="47"/>
  <c r="B9" i="24" s="1"/>
  <c r="E3" i="47"/>
  <c r="E3" i="24" s="1"/>
  <c r="K4" i="55" s="1"/>
  <c r="A15" i="3"/>
  <c r="B158" i="51"/>
  <c r="B24" i="25" s="1"/>
  <c r="A158" i="51"/>
  <c r="A24" i="25" s="1"/>
  <c r="N1" i="40" s="1"/>
  <c r="B157" i="51"/>
  <c r="B22" i="25" s="1"/>
  <c r="A157" i="51"/>
  <c r="A22" i="25" s="1"/>
  <c r="N1" i="39" s="1"/>
  <c r="B156" i="51"/>
  <c r="B20" i="25" s="1"/>
  <c r="A156" i="51"/>
  <c r="A20" i="25" s="1"/>
  <c r="N1" i="38" s="1"/>
  <c r="B155" i="51"/>
  <c r="B18" i="25" s="1"/>
  <c r="A155" i="51"/>
  <c r="A18" i="25" s="1"/>
  <c r="N1" i="37" s="1"/>
  <c r="B154" i="51"/>
  <c r="B16" i="25" s="1"/>
  <c r="A154" i="51"/>
  <c r="A16" i="25" s="1"/>
  <c r="N1" i="36" s="1"/>
  <c r="B153" i="51"/>
  <c r="B14" i="25" s="1"/>
  <c r="A153" i="51"/>
  <c r="A14" i="25" s="1"/>
  <c r="N1" i="35" s="1"/>
  <c r="F133" i="51"/>
  <c r="F127" i="51"/>
  <c r="F126" i="51"/>
  <c r="F125" i="51"/>
  <c r="I30" i="39" s="1"/>
  <c r="J30" i="39" s="1"/>
  <c r="F122" i="51"/>
  <c r="F120" i="51"/>
  <c r="F119" i="51"/>
  <c r="I24" i="39" s="1"/>
  <c r="J24" i="39" s="1"/>
  <c r="F118" i="51"/>
  <c r="I23" i="39" s="1"/>
  <c r="K23" i="39" s="1"/>
  <c r="F116" i="51"/>
  <c r="F114" i="51"/>
  <c r="H207" i="29" s="1"/>
  <c r="F111" i="51"/>
  <c r="D112" i="51" s="1"/>
  <c r="F112" i="51" s="1"/>
  <c r="F107" i="51"/>
  <c r="F106" i="51"/>
  <c r="F105" i="51"/>
  <c r="F104" i="51"/>
  <c r="F88" i="51"/>
  <c r="F87" i="51"/>
  <c r="F86" i="51"/>
  <c r="F85" i="51"/>
  <c r="F83" i="51"/>
  <c r="I36" i="38" s="1"/>
  <c r="J36" i="38" s="1"/>
  <c r="F81" i="51"/>
  <c r="I34" i="38" s="1"/>
  <c r="F78" i="51"/>
  <c r="D79" i="51" s="1"/>
  <c r="F79" i="51" s="1"/>
  <c r="F77" i="51"/>
  <c r="F75" i="51"/>
  <c r="D76" i="51" s="1"/>
  <c r="F76" i="51" s="1"/>
  <c r="F73" i="51"/>
  <c r="D74" i="51" s="1"/>
  <c r="F74" i="51" s="1"/>
  <c r="F71" i="51"/>
  <c r="D72" i="51" s="1"/>
  <c r="F72" i="51" s="1"/>
  <c r="F69" i="51"/>
  <c r="I22" i="38" s="1"/>
  <c r="F67" i="51"/>
  <c r="D68" i="51" s="1"/>
  <c r="F68" i="51" s="1"/>
  <c r="F65" i="51"/>
  <c r="I17" i="38"/>
  <c r="H73" i="29"/>
  <c r="F50" i="51"/>
  <c r="I15" i="37" s="1"/>
  <c r="F49" i="51"/>
  <c r="I14" i="37" s="1"/>
  <c r="F48" i="51"/>
  <c r="I13" i="37" s="1"/>
  <c r="F45" i="51"/>
  <c r="D46" i="51" s="1"/>
  <c r="F46" i="51" s="1"/>
  <c r="F44" i="51"/>
  <c r="I9" i="37" s="1"/>
  <c r="F38" i="51"/>
  <c r="F37" i="51"/>
  <c r="I9" i="36" s="1"/>
  <c r="F18" i="51"/>
  <c r="I12" i="35" s="1"/>
  <c r="F17" i="51"/>
  <c r="F145" i="51" s="1"/>
  <c r="F16" i="51"/>
  <c r="I10" i="35" s="1"/>
  <c r="F15" i="51"/>
  <c r="F32" i="51" s="1"/>
  <c r="I9" i="35" l="1"/>
  <c r="H11" i="29"/>
  <c r="J38" i="38"/>
  <c r="J11" i="39"/>
  <c r="J13" i="38"/>
  <c r="J40" i="38"/>
  <c r="J18" i="38"/>
  <c r="K11" i="39"/>
  <c r="J41" i="38"/>
  <c r="J30" i="38"/>
  <c r="K30" i="39"/>
  <c r="J21" i="39"/>
  <c r="J10" i="39"/>
  <c r="J39" i="38"/>
  <c r="K12" i="39"/>
  <c r="J32" i="39"/>
  <c r="M15" i="37"/>
  <c r="J15" i="37"/>
  <c r="M14" i="37"/>
  <c r="J14" i="37"/>
  <c r="K15" i="37"/>
  <c r="J22" i="38"/>
  <c r="K22" i="38"/>
  <c r="K9" i="37"/>
  <c r="M9" i="37"/>
  <c r="J9" i="37"/>
  <c r="K14" i="37"/>
  <c r="J34" i="38"/>
  <c r="K34" i="38"/>
  <c r="E35" i="38" s="1"/>
  <c r="K35" i="38" s="1"/>
  <c r="J17" i="38"/>
  <c r="K17" i="38"/>
  <c r="K36" i="38"/>
  <c r="D115" i="51"/>
  <c r="D123" i="51"/>
  <c r="I27" i="39"/>
  <c r="J27" i="39" s="1"/>
  <c r="B12" i="46"/>
  <c r="B12" i="24"/>
  <c r="H51" i="29"/>
  <c r="D11" i="37"/>
  <c r="J11" i="37" s="1"/>
  <c r="I14" i="38"/>
  <c r="J14" i="38" s="1"/>
  <c r="D21" i="38"/>
  <c r="J21" i="38" s="1"/>
  <c r="D27" i="38"/>
  <c r="J27" i="38" s="1"/>
  <c r="I20" i="38"/>
  <c r="I31" i="38"/>
  <c r="H216" i="29"/>
  <c r="D82" i="51"/>
  <c r="D121" i="51"/>
  <c r="I25" i="39"/>
  <c r="J25" i="39" s="1"/>
  <c r="D134" i="51"/>
  <c r="I11" i="35"/>
  <c r="J11" i="35" s="1"/>
  <c r="J30" i="35" s="1"/>
  <c r="I10" i="37"/>
  <c r="H81" i="29"/>
  <c r="H89" i="29"/>
  <c r="H115" i="29"/>
  <c r="H148" i="29"/>
  <c r="I28" i="38"/>
  <c r="J28" i="38" s="1"/>
  <c r="H254" i="29"/>
  <c r="D25" i="38"/>
  <c r="J25" i="38" s="1"/>
  <c r="D29" i="38"/>
  <c r="J29" i="38" s="1"/>
  <c r="D32" i="38"/>
  <c r="J32" i="38" s="1"/>
  <c r="I26" i="38"/>
  <c r="J26" i="38" s="1"/>
  <c r="J12" i="39"/>
  <c r="J31" i="39"/>
  <c r="H198" i="29"/>
  <c r="I9" i="40"/>
  <c r="J9" i="40" s="1"/>
  <c r="L89" i="29"/>
  <c r="L123" i="29"/>
  <c r="H123" i="29"/>
  <c r="I24" i="38"/>
  <c r="D17" i="39"/>
  <c r="J17" i="39" s="1"/>
  <c r="N57" i="3"/>
  <c r="C15" i="3"/>
  <c r="A18" i="3" s="1"/>
  <c r="K24" i="39"/>
  <c r="K19" i="39"/>
  <c r="E20" i="39" s="1"/>
  <c r="K20" i="39" s="1"/>
  <c r="E3" i="46"/>
  <c r="B9" i="46"/>
  <c r="L106" i="29"/>
  <c r="K106" i="29" s="1"/>
  <c r="L81" i="29"/>
  <c r="L115" i="29"/>
  <c r="L73" i="29"/>
  <c r="K73" i="29" s="1"/>
  <c r="L131" i="29"/>
  <c r="K131" i="29" s="1"/>
  <c r="L148" i="29"/>
  <c r="L167" i="29"/>
  <c r="K167" i="29" s="1"/>
  <c r="L97" i="29"/>
  <c r="K97" i="29" s="1"/>
  <c r="M30" i="39"/>
  <c r="J23" i="39"/>
  <c r="M23" i="39"/>
  <c r="E32" i="39"/>
  <c r="K32" i="39" s="1"/>
  <c r="E31" i="39"/>
  <c r="K31" i="39" s="1"/>
  <c r="E21" i="39"/>
  <c r="K21" i="39" s="1"/>
  <c r="K14" i="39"/>
  <c r="M14" i="39"/>
  <c r="K10" i="39"/>
  <c r="M10" i="39"/>
  <c r="M22" i="38"/>
  <c r="E18" i="38"/>
  <c r="K18" i="38" s="1"/>
  <c r="E30" i="38"/>
  <c r="K30" i="38" s="1"/>
  <c r="E38" i="38"/>
  <c r="K38" i="38" s="1"/>
  <c r="E39" i="38"/>
  <c r="K39" i="38" s="1"/>
  <c r="E40" i="38"/>
  <c r="K40" i="38" s="1"/>
  <c r="E41" i="38"/>
  <c r="K41" i="38" s="1"/>
  <c r="E13" i="38"/>
  <c r="K13" i="38" s="1"/>
  <c r="F39" i="51"/>
  <c r="F154" i="51" s="1"/>
  <c r="G16" i="25" s="1"/>
  <c r="K12" i="35"/>
  <c r="J12" i="35"/>
  <c r="M12" i="35"/>
  <c r="F51" i="51"/>
  <c r="F155" i="51" s="1"/>
  <c r="G18" i="25" s="1"/>
  <c r="K89" i="29" l="1"/>
  <c r="K123" i="29"/>
  <c r="K11" i="35"/>
  <c r="K30" i="35" s="1"/>
  <c r="K25" i="39"/>
  <c r="E26" i="39" s="1"/>
  <c r="K26" i="39" s="1"/>
  <c r="K115" i="29"/>
  <c r="D15" i="38"/>
  <c r="J15" i="38" s="1"/>
  <c r="K81" i="29"/>
  <c r="K28" i="38"/>
  <c r="E29" i="38" s="1"/>
  <c r="K29" i="38" s="1"/>
  <c r="K148" i="29"/>
  <c r="K27" i="39"/>
  <c r="E28" i="39" s="1"/>
  <c r="K28" i="39" s="1"/>
  <c r="K9" i="40"/>
  <c r="F82" i="51"/>
  <c r="D35" i="38"/>
  <c r="J35" i="38" s="1"/>
  <c r="K26" i="38"/>
  <c r="E27" i="38" s="1"/>
  <c r="K27" i="38" s="1"/>
  <c r="K14" i="38"/>
  <c r="J24" i="38"/>
  <c r="K24" i="38"/>
  <c r="E25" i="38" s="1"/>
  <c r="K25" i="38" s="1"/>
  <c r="F121" i="51"/>
  <c r="D26" i="39"/>
  <c r="J26" i="39" s="1"/>
  <c r="F134" i="51"/>
  <c r="F135" i="51" s="1"/>
  <c r="F158" i="51" s="1"/>
  <c r="G24" i="25" s="1"/>
  <c r="D10" i="40"/>
  <c r="J10" i="40" s="1"/>
  <c r="J15" i="40" s="1"/>
  <c r="F123" i="51"/>
  <c r="D28" i="39"/>
  <c r="J28" i="39" s="1"/>
  <c r="J20" i="38"/>
  <c r="K20" i="38"/>
  <c r="E21" i="38" s="1"/>
  <c r="K21" i="38" s="1"/>
  <c r="J31" i="38"/>
  <c r="K31" i="38"/>
  <c r="E32" i="38" s="1"/>
  <c r="K32" i="38" s="1"/>
  <c r="F115" i="51"/>
  <c r="D20" i="39"/>
  <c r="J20" i="39" s="1"/>
  <c r="F146" i="51" l="1"/>
  <c r="F147" i="51" s="1"/>
  <c r="F99" i="51"/>
  <c r="F156" i="51" s="1"/>
  <c r="F128" i="51"/>
  <c r="F157" i="51" s="1"/>
  <c r="G22" i="25" s="1"/>
  <c r="J56" i="38"/>
  <c r="E15" i="38"/>
  <c r="K15" i="38" s="1"/>
  <c r="K56" i="38" s="1"/>
  <c r="E10" i="40"/>
  <c r="K10" i="40" s="1"/>
  <c r="K15" i="40" s="1"/>
  <c r="B16" i="47"/>
  <c r="G20" i="25" l="1"/>
  <c r="BR52" i="3"/>
  <c r="I36" i="25" s="1"/>
  <c r="BQ52" i="3"/>
  <c r="BR50" i="3"/>
  <c r="BQ50" i="3"/>
  <c r="P56" i="3" l="1"/>
  <c r="O56" i="3"/>
  <c r="O52" i="3" s="1"/>
  <c r="P52" i="3" l="1"/>
  <c r="I38" i="25"/>
  <c r="S2" i="3" l="1"/>
  <c r="L256" i="29"/>
  <c r="L257" i="29"/>
  <c r="L258" i="29"/>
  <c r="L259" i="29"/>
  <c r="L260" i="29"/>
  <c r="L261" i="29"/>
  <c r="L255" i="29"/>
  <c r="L239" i="29"/>
  <c r="L238" i="29"/>
  <c r="L237" i="29"/>
  <c r="L236" i="29"/>
  <c r="L235" i="29"/>
  <c r="L234" i="29"/>
  <c r="L233" i="29"/>
  <c r="L231" i="29"/>
  <c r="L230" i="29"/>
  <c r="L229" i="29"/>
  <c r="L228" i="29"/>
  <c r="L227" i="29"/>
  <c r="L226" i="29"/>
  <c r="L225" i="29"/>
  <c r="L223" i="29"/>
  <c r="L222" i="29"/>
  <c r="L221" i="29"/>
  <c r="L220" i="29"/>
  <c r="L219" i="29"/>
  <c r="L218" i="29"/>
  <c r="L217" i="29"/>
  <c r="L214" i="29"/>
  <c r="L213" i="29"/>
  <c r="L212" i="29"/>
  <c r="L211" i="29"/>
  <c r="L210" i="29"/>
  <c r="L209" i="29"/>
  <c r="L208" i="29"/>
  <c r="L205" i="29"/>
  <c r="L204" i="29"/>
  <c r="L203" i="29"/>
  <c r="L202" i="29"/>
  <c r="L201" i="29"/>
  <c r="L200" i="29"/>
  <c r="L199" i="29"/>
  <c r="E9" i="39"/>
  <c r="L141" i="29"/>
  <c r="L142" i="29"/>
  <c r="L143" i="29"/>
  <c r="L144" i="29"/>
  <c r="L145" i="29"/>
  <c r="L146" i="29"/>
  <c r="L140" i="29"/>
  <c r="E9" i="38"/>
  <c r="E11" i="38"/>
  <c r="K11" i="38" s="1"/>
  <c r="E10" i="35"/>
  <c r="E10" i="36"/>
  <c r="E9" i="36"/>
  <c r="L53" i="29"/>
  <c r="L54" i="29"/>
  <c r="L55" i="29"/>
  <c r="L56" i="29"/>
  <c r="L57" i="29"/>
  <c r="L58" i="29"/>
  <c r="L52" i="29"/>
  <c r="C300" i="3"/>
  <c r="T50" i="3"/>
  <c r="S50" i="3"/>
  <c r="R50" i="3"/>
  <c r="Q50" i="3"/>
  <c r="P50" i="3"/>
  <c r="O50" i="3"/>
  <c r="L13" i="29"/>
  <c r="L14" i="29"/>
  <c r="L15" i="29"/>
  <c r="L16" i="29"/>
  <c r="L17" i="29"/>
  <c r="L18" i="29"/>
  <c r="L12" i="29"/>
  <c r="G3" i="34"/>
  <c r="F3" i="33"/>
  <c r="F3" i="32"/>
  <c r="F3" i="31"/>
  <c r="E3" i="30"/>
  <c r="F3" i="29"/>
  <c r="F245" i="29" s="1"/>
  <c r="H3" i="28"/>
  <c r="E3" i="27"/>
  <c r="H3" i="26"/>
  <c r="F301" i="3"/>
  <c r="F302" i="3" s="1"/>
  <c r="H303" i="3" s="1"/>
  <c r="D111" i="24"/>
  <c r="D112" i="24"/>
  <c r="D113" i="24"/>
  <c r="D114" i="24"/>
  <c r="D115" i="24"/>
  <c r="D116" i="24"/>
  <c r="D117" i="24"/>
  <c r="D118" i="24"/>
  <c r="D119" i="24"/>
  <c r="D120" i="24"/>
  <c r="D121" i="24"/>
  <c r="D110" i="24"/>
  <c r="D98" i="24"/>
  <c r="D99" i="24"/>
  <c r="D100" i="24"/>
  <c r="D101" i="24"/>
  <c r="D102" i="24"/>
  <c r="D103" i="24"/>
  <c r="D104" i="24"/>
  <c r="D105" i="24"/>
  <c r="D106" i="24"/>
  <c r="D107" i="24"/>
  <c r="D108" i="24"/>
  <c r="D97" i="24"/>
  <c r="D85" i="24"/>
  <c r="D86" i="24"/>
  <c r="D87" i="24"/>
  <c r="D88" i="24"/>
  <c r="D89" i="24"/>
  <c r="D90" i="24"/>
  <c r="D91" i="24"/>
  <c r="D92" i="24"/>
  <c r="D93" i="24"/>
  <c r="D94" i="24"/>
  <c r="D95" i="24"/>
  <c r="D84" i="24"/>
  <c r="D47" i="24"/>
  <c r="D48" i="24"/>
  <c r="D49" i="24"/>
  <c r="D50" i="24"/>
  <c r="D51" i="24"/>
  <c r="D52" i="24"/>
  <c r="D53" i="24"/>
  <c r="D54" i="24"/>
  <c r="D55" i="24"/>
  <c r="D56" i="24"/>
  <c r="D57" i="24"/>
  <c r="D46" i="24"/>
  <c r="D34" i="24"/>
  <c r="D35" i="24"/>
  <c r="D36" i="24"/>
  <c r="D37" i="24"/>
  <c r="D38" i="24"/>
  <c r="D39" i="24"/>
  <c r="D40" i="24"/>
  <c r="D41" i="24"/>
  <c r="D42" i="24"/>
  <c r="D43" i="24"/>
  <c r="D44" i="24"/>
  <c r="D33" i="24"/>
  <c r="D21" i="24"/>
  <c r="D22" i="24"/>
  <c r="D23" i="24"/>
  <c r="D24" i="24"/>
  <c r="D25" i="24"/>
  <c r="D26" i="24"/>
  <c r="D27" i="24"/>
  <c r="D28" i="24"/>
  <c r="D29" i="24"/>
  <c r="D30" i="24"/>
  <c r="D31" i="24"/>
  <c r="D20" i="24"/>
  <c r="A83" i="46"/>
  <c r="B79" i="46"/>
  <c r="E78" i="46"/>
  <c r="B78" i="46"/>
  <c r="B77" i="46"/>
  <c r="E67" i="46"/>
  <c r="F122" i="46"/>
  <c r="D122" i="46"/>
  <c r="D122" i="24" s="1"/>
  <c r="E121" i="46"/>
  <c r="E120" i="46"/>
  <c r="E119" i="46"/>
  <c r="E118" i="46"/>
  <c r="E117" i="46"/>
  <c r="E116" i="46"/>
  <c r="E115" i="46"/>
  <c r="E114" i="46"/>
  <c r="E113" i="46"/>
  <c r="E112" i="46"/>
  <c r="E111" i="46"/>
  <c r="E110" i="46"/>
  <c r="F109" i="46"/>
  <c r="D109" i="46"/>
  <c r="D109" i="24" s="1"/>
  <c r="E108" i="46"/>
  <c r="E107" i="46"/>
  <c r="E106" i="46"/>
  <c r="E105" i="46"/>
  <c r="E104" i="46"/>
  <c r="E103" i="46"/>
  <c r="E102" i="46"/>
  <c r="E101" i="46"/>
  <c r="E100" i="46"/>
  <c r="E99" i="46"/>
  <c r="E98" i="46"/>
  <c r="E97" i="46"/>
  <c r="F96" i="46"/>
  <c r="D96" i="46"/>
  <c r="D96" i="24" s="1"/>
  <c r="E95" i="46"/>
  <c r="E94" i="46"/>
  <c r="E93" i="46"/>
  <c r="E92" i="46"/>
  <c r="E91" i="46"/>
  <c r="E90" i="46"/>
  <c r="E89" i="46"/>
  <c r="E88" i="46"/>
  <c r="E87" i="46"/>
  <c r="E86" i="46"/>
  <c r="E85" i="46"/>
  <c r="E84" i="46"/>
  <c r="B111" i="24"/>
  <c r="C111" i="24"/>
  <c r="B112" i="24"/>
  <c r="C112" i="24"/>
  <c r="B113" i="24"/>
  <c r="C113" i="24"/>
  <c r="B114" i="24"/>
  <c r="C114" i="24"/>
  <c r="B115" i="24"/>
  <c r="C115" i="24"/>
  <c r="B116" i="24"/>
  <c r="C116" i="24"/>
  <c r="B117" i="24"/>
  <c r="C117" i="24"/>
  <c r="B118" i="24"/>
  <c r="C118" i="24"/>
  <c r="B119" i="24"/>
  <c r="C119" i="24"/>
  <c r="B120" i="24"/>
  <c r="C120" i="24"/>
  <c r="B121" i="24"/>
  <c r="C121" i="24"/>
  <c r="C110" i="24"/>
  <c r="B110" i="24"/>
  <c r="B98" i="24"/>
  <c r="C98" i="24"/>
  <c r="B99" i="24"/>
  <c r="C99" i="24"/>
  <c r="B100" i="24"/>
  <c r="C100" i="24"/>
  <c r="B101" i="24"/>
  <c r="C101" i="24"/>
  <c r="B102" i="24"/>
  <c r="C102" i="24"/>
  <c r="B103" i="24"/>
  <c r="C103" i="24"/>
  <c r="B104" i="24"/>
  <c r="C104" i="24"/>
  <c r="B105" i="24"/>
  <c r="C105" i="24"/>
  <c r="B106" i="24"/>
  <c r="C106" i="24"/>
  <c r="B107" i="24"/>
  <c r="C107" i="24"/>
  <c r="B108" i="24"/>
  <c r="C108" i="24"/>
  <c r="C97" i="24"/>
  <c r="B97" i="24"/>
  <c r="B85" i="24"/>
  <c r="C85" i="24"/>
  <c r="B86" i="24"/>
  <c r="C86" i="24"/>
  <c r="B87" i="24"/>
  <c r="C87" i="24"/>
  <c r="B88" i="24"/>
  <c r="C88" i="24"/>
  <c r="B89" i="24"/>
  <c r="C89" i="24"/>
  <c r="B90" i="24"/>
  <c r="C90" i="24"/>
  <c r="B91" i="24"/>
  <c r="C91" i="24"/>
  <c r="B92" i="24"/>
  <c r="C92" i="24"/>
  <c r="B93" i="24"/>
  <c r="C93" i="24"/>
  <c r="B94" i="24"/>
  <c r="C94" i="24"/>
  <c r="B95" i="24"/>
  <c r="C95" i="24"/>
  <c r="C84" i="24"/>
  <c r="B84" i="24"/>
  <c r="B47" i="24"/>
  <c r="C47" i="24"/>
  <c r="B48" i="24"/>
  <c r="C48" i="24"/>
  <c r="B49" i="24"/>
  <c r="C49" i="24"/>
  <c r="B50" i="24"/>
  <c r="C50" i="24"/>
  <c r="B51" i="24"/>
  <c r="C51" i="24"/>
  <c r="B52" i="24"/>
  <c r="C52" i="24"/>
  <c r="B53" i="24"/>
  <c r="C53" i="24"/>
  <c r="B54" i="24"/>
  <c r="C54" i="24"/>
  <c r="B55" i="24"/>
  <c r="C55" i="24"/>
  <c r="B56" i="24"/>
  <c r="C56" i="24"/>
  <c r="B57" i="24"/>
  <c r="C57" i="24"/>
  <c r="C46" i="24"/>
  <c r="B46" i="24"/>
  <c r="B34" i="24"/>
  <c r="C34" i="24"/>
  <c r="B35" i="24"/>
  <c r="C35" i="24"/>
  <c r="B36" i="24"/>
  <c r="C36" i="24"/>
  <c r="B37" i="24"/>
  <c r="C37" i="24"/>
  <c r="B38" i="24"/>
  <c r="C38" i="24"/>
  <c r="B39" i="24"/>
  <c r="C39" i="24"/>
  <c r="B40" i="24"/>
  <c r="C40" i="24"/>
  <c r="B41" i="24"/>
  <c r="C41" i="24"/>
  <c r="B42" i="24"/>
  <c r="C42" i="24"/>
  <c r="B43" i="24"/>
  <c r="C43" i="24"/>
  <c r="B44" i="24"/>
  <c r="C44" i="24"/>
  <c r="C33" i="24"/>
  <c r="B33" i="24"/>
  <c r="B21" i="24"/>
  <c r="C21" i="24"/>
  <c r="B22" i="24"/>
  <c r="C22" i="24"/>
  <c r="B23" i="24"/>
  <c r="C23" i="24"/>
  <c r="B24" i="24"/>
  <c r="C24" i="24"/>
  <c r="B25" i="24"/>
  <c r="C25" i="24"/>
  <c r="B26" i="24"/>
  <c r="C26" i="24"/>
  <c r="B27" i="24"/>
  <c r="C27" i="24"/>
  <c r="B28" i="24"/>
  <c r="C28" i="24"/>
  <c r="B29" i="24"/>
  <c r="C29" i="24"/>
  <c r="B30" i="24"/>
  <c r="C30" i="24"/>
  <c r="B31" i="24"/>
  <c r="C31" i="24"/>
  <c r="C20" i="24"/>
  <c r="B20" i="24"/>
  <c r="D123" i="24"/>
  <c r="A83" i="47"/>
  <c r="E74" i="47"/>
  <c r="B74" i="47"/>
  <c r="D65" i="47"/>
  <c r="C66" i="47"/>
  <c r="F122" i="47"/>
  <c r="C122" i="47"/>
  <c r="C122" i="24" s="1"/>
  <c r="B122" i="47"/>
  <c r="B122" i="24" s="1"/>
  <c r="E121" i="47"/>
  <c r="E120" i="47"/>
  <c r="E119" i="47"/>
  <c r="E118" i="47"/>
  <c r="E117" i="47"/>
  <c r="E116" i="47"/>
  <c r="E115" i="47"/>
  <c r="E114" i="47"/>
  <c r="E113" i="47"/>
  <c r="E112" i="47"/>
  <c r="E111" i="47"/>
  <c r="E110" i="47"/>
  <c r="F109" i="47"/>
  <c r="C109" i="47"/>
  <c r="C109" i="24" s="1"/>
  <c r="B109" i="47"/>
  <c r="B109" i="24" s="1"/>
  <c r="E108" i="47"/>
  <c r="E107" i="47"/>
  <c r="E106" i="47"/>
  <c r="E105" i="47"/>
  <c r="E104" i="47"/>
  <c r="E103" i="47"/>
  <c r="E102" i="47"/>
  <c r="E101" i="47"/>
  <c r="E100" i="47"/>
  <c r="E99" i="47"/>
  <c r="E98" i="47"/>
  <c r="E97" i="47"/>
  <c r="F96" i="47"/>
  <c r="C96" i="47"/>
  <c r="C96" i="24" s="1"/>
  <c r="B96" i="47"/>
  <c r="B96" i="24" s="1"/>
  <c r="E95" i="47"/>
  <c r="E94" i="47"/>
  <c r="E93" i="47"/>
  <c r="E92" i="47"/>
  <c r="E91" i="47"/>
  <c r="E90" i="47"/>
  <c r="E89" i="47"/>
  <c r="E88" i="47"/>
  <c r="E87" i="47"/>
  <c r="E86" i="47"/>
  <c r="E85" i="47"/>
  <c r="E84" i="47"/>
  <c r="E82" i="47"/>
  <c r="B15" i="24"/>
  <c r="B78" i="24" s="1"/>
  <c r="F122" i="24"/>
  <c r="F109" i="24"/>
  <c r="F96" i="24"/>
  <c r="Y3" i="3"/>
  <c r="Y2" i="3"/>
  <c r="W5" i="3"/>
  <c r="W7" i="3" s="1"/>
  <c r="W9" i="3" s="1"/>
  <c r="W11" i="3" s="1"/>
  <c r="W13" i="3" s="1"/>
  <c r="W15" i="3" s="1"/>
  <c r="W4" i="3"/>
  <c r="K3" i="37"/>
  <c r="N53" i="3"/>
  <c r="L18" i="33"/>
  <c r="L29" i="32"/>
  <c r="L18" i="32"/>
  <c r="J9" i="39"/>
  <c r="J36" i="39" s="1"/>
  <c r="B3" i="40"/>
  <c r="B3" i="39"/>
  <c r="B3" i="38"/>
  <c r="B3" i="37"/>
  <c r="B3" i="36"/>
  <c r="B3" i="35"/>
  <c r="K59" i="29"/>
  <c r="C2" i="25"/>
  <c r="L24" i="25"/>
  <c r="D14" i="27" s="1"/>
  <c r="L22" i="25"/>
  <c r="D13" i="27" s="1"/>
  <c r="L20" i="25"/>
  <c r="D12" i="27" s="1"/>
  <c r="L18" i="25"/>
  <c r="D11" i="27" s="1"/>
  <c r="L16" i="25"/>
  <c r="D10" i="27" s="1"/>
  <c r="F4" i="24"/>
  <c r="F67" i="24" s="1"/>
  <c r="D2" i="46"/>
  <c r="D65" i="46" s="1"/>
  <c r="D2" i="24"/>
  <c r="D65" i="24" s="1"/>
  <c r="C3" i="24"/>
  <c r="C66" i="24" s="1"/>
  <c r="C3" i="46"/>
  <c r="C66" i="46" s="1"/>
  <c r="B18" i="3" l="1"/>
  <c r="A20" i="3"/>
  <c r="E96" i="47"/>
  <c r="E122" i="47"/>
  <c r="Y5" i="3"/>
  <c r="Y4" i="3"/>
  <c r="E96" i="46"/>
  <c r="E122" i="46"/>
  <c r="G301" i="3"/>
  <c r="G302" i="3" s="1"/>
  <c r="H302" i="3"/>
  <c r="W6" i="3"/>
  <c r="E109" i="47"/>
  <c r="E109" i="46"/>
  <c r="L254" i="29"/>
  <c r="L262" i="29" s="1"/>
  <c r="L224" i="29"/>
  <c r="K224" i="29" s="1"/>
  <c r="L232" i="29"/>
  <c r="K232" i="29" s="1"/>
  <c r="L216" i="29"/>
  <c r="K216" i="29" s="1"/>
  <c r="L198" i="29"/>
  <c r="L240" i="29" s="1"/>
  <c r="L207" i="29"/>
  <c r="K207" i="29" s="1"/>
  <c r="F180" i="29"/>
  <c r="L139" i="29"/>
  <c r="L175" i="29" s="1"/>
  <c r="L51" i="29"/>
  <c r="L59" i="29" s="1"/>
  <c r="K9" i="36"/>
  <c r="F303" i="3"/>
  <c r="L11" i="29"/>
  <c r="F42" i="29"/>
  <c r="F64" i="29"/>
  <c r="E85" i="24"/>
  <c r="E89" i="24"/>
  <c r="E100" i="24"/>
  <c r="E104" i="24"/>
  <c r="E108" i="24"/>
  <c r="E91" i="24"/>
  <c r="E114" i="24"/>
  <c r="E84" i="24"/>
  <c r="E93" i="24"/>
  <c r="E107" i="24"/>
  <c r="E120" i="24"/>
  <c r="E97" i="24"/>
  <c r="E102" i="24"/>
  <c r="E111" i="24"/>
  <c r="E115" i="24"/>
  <c r="E119" i="24"/>
  <c r="E87" i="24"/>
  <c r="E92" i="24"/>
  <c r="E98" i="24"/>
  <c r="E103" i="24"/>
  <c r="E110" i="24"/>
  <c r="E116" i="24"/>
  <c r="E121" i="24"/>
  <c r="E88" i="24"/>
  <c r="E94" i="24"/>
  <c r="E99" i="24"/>
  <c r="E105" i="24"/>
  <c r="E112" i="24"/>
  <c r="E117" i="24"/>
  <c r="E86" i="24"/>
  <c r="E90" i="24"/>
  <c r="E95" i="24"/>
  <c r="E101" i="24"/>
  <c r="E106" i="24"/>
  <c r="E113" i="24"/>
  <c r="E118" i="24"/>
  <c r="B15" i="3"/>
  <c r="T2" i="3"/>
  <c r="W17" i="3"/>
  <c r="W19" i="3" s="1"/>
  <c r="W21" i="3" s="1"/>
  <c r="W23" i="3" s="1"/>
  <c r="W25" i="3" s="1"/>
  <c r="W27" i="3" s="1"/>
  <c r="W29" i="3" s="1"/>
  <c r="W31" i="3" s="1"/>
  <c r="W33" i="3" s="1"/>
  <c r="W35" i="3" s="1"/>
  <c r="W37" i="3" s="1"/>
  <c r="W39" i="3" s="1"/>
  <c r="W41" i="3" s="1"/>
  <c r="M53" i="3"/>
  <c r="M54" i="3" s="1"/>
  <c r="K3" i="33"/>
  <c r="K3" i="38"/>
  <c r="I3" i="27"/>
  <c r="K3" i="26"/>
  <c r="K3" i="31"/>
  <c r="K3" i="36"/>
  <c r="E4" i="47"/>
  <c r="K3" i="30"/>
  <c r="K3" i="40"/>
  <c r="K3" i="29"/>
  <c r="M3" i="34"/>
  <c r="N3" i="28"/>
  <c r="K3" i="32"/>
  <c r="K3" i="35"/>
  <c r="K3" i="39"/>
  <c r="K9" i="39"/>
  <c r="K36" i="39" s="1"/>
  <c r="M11" i="38"/>
  <c r="K10" i="36"/>
  <c r="J9" i="36"/>
  <c r="M10" i="36"/>
  <c r="J10" i="36"/>
  <c r="M9" i="39"/>
  <c r="M36" i="39" s="1"/>
  <c r="J11" i="38"/>
  <c r="B16" i="24"/>
  <c r="B79" i="24" s="1"/>
  <c r="E15" i="24"/>
  <c r="E78" i="24" s="1"/>
  <c r="B14" i="24"/>
  <c r="B77" i="24" s="1"/>
  <c r="E11" i="24"/>
  <c r="E74" i="24" s="1"/>
  <c r="B11" i="24"/>
  <c r="B74" i="24" s="1"/>
  <c r="E57" i="46"/>
  <c r="E56" i="46"/>
  <c r="E55" i="46"/>
  <c r="E54" i="46"/>
  <c r="E53" i="46"/>
  <c r="E52" i="46"/>
  <c r="E51" i="46"/>
  <c r="E50" i="46"/>
  <c r="E49" i="46"/>
  <c r="E48" i="46"/>
  <c r="E47" i="46"/>
  <c r="E46" i="46"/>
  <c r="E44" i="46"/>
  <c r="E43" i="46"/>
  <c r="E42" i="46"/>
  <c r="E41" i="46"/>
  <c r="E40" i="46"/>
  <c r="E39" i="46"/>
  <c r="E38" i="46"/>
  <c r="E37" i="46"/>
  <c r="E36" i="46"/>
  <c r="E35" i="46"/>
  <c r="E34" i="46"/>
  <c r="E33" i="46"/>
  <c r="E31" i="46"/>
  <c r="E30" i="46"/>
  <c r="E29" i="46"/>
  <c r="E28" i="46"/>
  <c r="E27" i="46"/>
  <c r="E26" i="46"/>
  <c r="E25" i="46"/>
  <c r="E24" i="46"/>
  <c r="E23" i="46"/>
  <c r="E22" i="46"/>
  <c r="E21" i="46"/>
  <c r="E20" i="46"/>
  <c r="E57" i="47"/>
  <c r="E56" i="47"/>
  <c r="E55" i="47"/>
  <c r="E54" i="47"/>
  <c r="E53" i="47"/>
  <c r="E52" i="47"/>
  <c r="E51" i="47"/>
  <c r="E50" i="47"/>
  <c r="E49" i="47"/>
  <c r="E48" i="47"/>
  <c r="E47" i="47"/>
  <c r="E46" i="47"/>
  <c r="E44" i="47"/>
  <c r="E43" i="47"/>
  <c r="E42" i="47"/>
  <c r="E41" i="47"/>
  <c r="E40" i="47"/>
  <c r="E39" i="47"/>
  <c r="E38" i="47"/>
  <c r="E37" i="47"/>
  <c r="E36" i="47"/>
  <c r="E35" i="47"/>
  <c r="E34" i="47"/>
  <c r="E33" i="47"/>
  <c r="E31" i="47"/>
  <c r="E30" i="47"/>
  <c r="E29" i="47"/>
  <c r="E28" i="47"/>
  <c r="E27" i="47"/>
  <c r="E26" i="47"/>
  <c r="E25" i="47"/>
  <c r="E24" i="47"/>
  <c r="E23" i="47"/>
  <c r="E22" i="47"/>
  <c r="E21" i="47"/>
  <c r="E20" i="47"/>
  <c r="B79" i="47"/>
  <c r="B14" i="47"/>
  <c r="B77" i="47" s="1"/>
  <c r="E15" i="47"/>
  <c r="E78" i="47" s="1"/>
  <c r="B15" i="47"/>
  <c r="B78" i="47" s="1"/>
  <c r="E11" i="46"/>
  <c r="E74" i="46" s="1"/>
  <c r="B11" i="46"/>
  <c r="B74" i="46" s="1"/>
  <c r="F58" i="47"/>
  <c r="C58" i="47"/>
  <c r="C58" i="24" s="1"/>
  <c r="B58" i="47"/>
  <c r="B58" i="24" s="1"/>
  <c r="F45" i="47"/>
  <c r="C45" i="47"/>
  <c r="C45" i="24" s="1"/>
  <c r="B45" i="47"/>
  <c r="B45" i="24" s="1"/>
  <c r="F32" i="47"/>
  <c r="C32" i="47"/>
  <c r="B32" i="47"/>
  <c r="B75" i="47"/>
  <c r="B72" i="47"/>
  <c r="F58" i="46"/>
  <c r="D58" i="46"/>
  <c r="D58" i="24" s="1"/>
  <c r="F45" i="46"/>
  <c r="D45" i="46"/>
  <c r="D45" i="24" s="1"/>
  <c r="F32" i="46"/>
  <c r="D32" i="46"/>
  <c r="B75" i="46"/>
  <c r="B72" i="46"/>
  <c r="K14" i="36" l="1"/>
  <c r="L264" i="29"/>
  <c r="J14" i="36"/>
  <c r="C20" i="3"/>
  <c r="D20" i="3" s="1"/>
  <c r="H20" i="3"/>
  <c r="A21" i="3"/>
  <c r="M52" i="3"/>
  <c r="BI52" i="3" s="1"/>
  <c r="F23" i="39" s="1"/>
  <c r="L265" i="29"/>
  <c r="K254" i="29"/>
  <c r="F59" i="47"/>
  <c r="F83" i="47" s="1"/>
  <c r="F123" i="47" s="1"/>
  <c r="E45" i="47"/>
  <c r="E58" i="46"/>
  <c r="G303" i="3"/>
  <c r="I34" i="25"/>
  <c r="W8" i="3"/>
  <c r="Y7" i="3"/>
  <c r="Y6" i="3"/>
  <c r="D59" i="46"/>
  <c r="E32" i="46"/>
  <c r="K42" i="29"/>
  <c r="K180" i="29"/>
  <c r="K64" i="29"/>
  <c r="K245" i="29"/>
  <c r="K198" i="29"/>
  <c r="K139" i="29"/>
  <c r="K51" i="29"/>
  <c r="BM52" i="3"/>
  <c r="BA52" i="3"/>
  <c r="F9" i="39" s="1"/>
  <c r="AG52" i="3"/>
  <c r="F11" i="38" s="1"/>
  <c r="U52" i="3"/>
  <c r="F9" i="35" s="1"/>
  <c r="BB52" i="3"/>
  <c r="F10" i="39" s="1"/>
  <c r="AP52" i="3"/>
  <c r="F24" i="38" s="1"/>
  <c r="V52" i="3"/>
  <c r="BO52" i="3"/>
  <c r="F32" i="39" s="1"/>
  <c r="AU52" i="3"/>
  <c r="F34" i="38" s="1"/>
  <c r="AI52" i="3"/>
  <c r="F14" i="38" s="1"/>
  <c r="I32" i="25"/>
  <c r="BH52" i="3"/>
  <c r="F21" i="39" s="1"/>
  <c r="AN52" i="3"/>
  <c r="F20" i="38" s="1"/>
  <c r="AB52" i="3"/>
  <c r="F10" i="37" s="1"/>
  <c r="F304" i="3"/>
  <c r="H304" i="3"/>
  <c r="K11" i="29"/>
  <c r="F59" i="46"/>
  <c r="D32" i="24"/>
  <c r="B8" i="46"/>
  <c r="E66" i="46"/>
  <c r="B71" i="46" s="1"/>
  <c r="E45" i="46"/>
  <c r="C59" i="47"/>
  <c r="C83" i="47" s="1"/>
  <c r="C123" i="47" s="1"/>
  <c r="C123" i="24" s="1"/>
  <c r="E58" i="47"/>
  <c r="B59" i="47"/>
  <c r="B83" i="47" s="1"/>
  <c r="B123" i="47" s="1"/>
  <c r="B123" i="24" s="1"/>
  <c r="B32" i="24"/>
  <c r="E32" i="47"/>
  <c r="C32" i="24"/>
  <c r="E4" i="24"/>
  <c r="E67" i="24" s="1"/>
  <c r="E67" i="47"/>
  <c r="B8" i="47"/>
  <c r="B71" i="47" s="1"/>
  <c r="E66" i="47"/>
  <c r="E96" i="24"/>
  <c r="E122" i="24"/>
  <c r="E109" i="24"/>
  <c r="X2" i="3"/>
  <c r="J10" i="35"/>
  <c r="U50" i="3"/>
  <c r="V50" i="3"/>
  <c r="D41" i="43"/>
  <c r="C41" i="43"/>
  <c r="F58" i="34"/>
  <c r="G58" i="34" s="1"/>
  <c r="E44" i="34"/>
  <c r="G44" i="34" s="1"/>
  <c r="E43" i="34"/>
  <c r="G43" i="34" s="1"/>
  <c r="E42" i="34"/>
  <c r="G42" i="34" s="1"/>
  <c r="E41" i="34"/>
  <c r="G41" i="34" s="1"/>
  <c r="E40" i="34"/>
  <c r="G40" i="34" s="1"/>
  <c r="E39" i="34"/>
  <c r="G39" i="34" s="1"/>
  <c r="E38" i="34"/>
  <c r="G38" i="34" s="1"/>
  <c r="E37" i="34"/>
  <c r="G37" i="34" s="1"/>
  <c r="F35" i="34"/>
  <c r="G35" i="34" s="1"/>
  <c r="E33" i="34"/>
  <c r="G33" i="34" s="1"/>
  <c r="E32" i="34"/>
  <c r="G32" i="34" s="1"/>
  <c r="E31" i="34"/>
  <c r="G31" i="34" s="1"/>
  <c r="E30" i="34"/>
  <c r="G30" i="34" s="1"/>
  <c r="E29" i="34"/>
  <c r="G29" i="34" s="1"/>
  <c r="E28" i="34"/>
  <c r="G28" i="34" s="1"/>
  <c r="E27" i="34"/>
  <c r="G27" i="34" s="1"/>
  <c r="E26" i="34"/>
  <c r="G26" i="34" s="1"/>
  <c r="E25" i="34"/>
  <c r="G25" i="34" s="1"/>
  <c r="E24" i="34"/>
  <c r="G24" i="34" s="1"/>
  <c r="E23" i="34"/>
  <c r="G23" i="34" s="1"/>
  <c r="E22" i="34"/>
  <c r="G22" i="34" s="1"/>
  <c r="E21" i="34"/>
  <c r="G21" i="34" s="1"/>
  <c r="E20" i="34"/>
  <c r="G20" i="34" s="1"/>
  <c r="E19" i="34"/>
  <c r="G19" i="34" s="1"/>
  <c r="E18" i="34"/>
  <c r="G18" i="34" s="1"/>
  <c r="L17" i="34"/>
  <c r="N17" i="34" s="1"/>
  <c r="E17" i="34"/>
  <c r="G17" i="34" s="1"/>
  <c r="L16" i="34"/>
  <c r="N16" i="34" s="1"/>
  <c r="E16" i="34"/>
  <c r="G16" i="34" s="1"/>
  <c r="L15" i="34"/>
  <c r="N15" i="34" s="1"/>
  <c r="E15" i="34"/>
  <c r="G15" i="34" s="1"/>
  <c r="L33" i="33"/>
  <c r="J23" i="26" s="1"/>
  <c r="L32" i="33"/>
  <c r="L32" i="32"/>
  <c r="J14" i="26" s="1"/>
  <c r="L31" i="32"/>
  <c r="L32" i="31"/>
  <c r="I23" i="27" s="1"/>
  <c r="L31" i="31"/>
  <c r="L51" i="30"/>
  <c r="L20" i="30"/>
  <c r="L15" i="30"/>
  <c r="N36" i="28"/>
  <c r="P36" i="28" s="1"/>
  <c r="L36" i="28"/>
  <c r="N35" i="28"/>
  <c r="P35" i="28" s="1"/>
  <c r="L35" i="28"/>
  <c r="N34" i="28"/>
  <c r="P34" i="28" s="1"/>
  <c r="L34" i="28"/>
  <c r="N33" i="28"/>
  <c r="P33" i="28" s="1"/>
  <c r="N32" i="28"/>
  <c r="P32" i="28" s="1"/>
  <c r="L32" i="28"/>
  <c r="N31" i="28"/>
  <c r="P31" i="28" s="1"/>
  <c r="L31" i="28"/>
  <c r="N22" i="28"/>
  <c r="P22" i="28" s="1"/>
  <c r="L22" i="28"/>
  <c r="N21" i="28"/>
  <c r="P21" i="28" s="1"/>
  <c r="L21" i="28"/>
  <c r="N20" i="28"/>
  <c r="P20" i="28" s="1"/>
  <c r="L20" i="28"/>
  <c r="N19" i="28"/>
  <c r="P19" i="28" s="1"/>
  <c r="L19" i="28"/>
  <c r="N18" i="28"/>
  <c r="P18" i="28" s="1"/>
  <c r="L18" i="28"/>
  <c r="N17" i="28"/>
  <c r="P17" i="28" s="1"/>
  <c r="N16" i="28"/>
  <c r="P16" i="28" s="1"/>
  <c r="L16" i="28"/>
  <c r="N15" i="28"/>
  <c r="L15" i="28"/>
  <c r="N14" i="28"/>
  <c r="P14" i="28" s="1"/>
  <c r="L14" i="28"/>
  <c r="N13" i="28"/>
  <c r="P13" i="28" s="1"/>
  <c r="L13" i="28"/>
  <c r="N12" i="28"/>
  <c r="L12" i="28"/>
  <c r="N11" i="28"/>
  <c r="H23" i="27"/>
  <c r="H13" i="26"/>
  <c r="F58" i="24"/>
  <c r="E57" i="24"/>
  <c r="E56" i="24"/>
  <c r="E55" i="24"/>
  <c r="E54" i="24"/>
  <c r="E53" i="24"/>
  <c r="E52" i="24"/>
  <c r="E51" i="24"/>
  <c r="E50" i="24"/>
  <c r="E49" i="24"/>
  <c r="E48" i="24"/>
  <c r="E47" i="24"/>
  <c r="E46" i="24"/>
  <c r="F45" i="24"/>
  <c r="E44" i="24"/>
  <c r="E43" i="24"/>
  <c r="E42" i="24"/>
  <c r="E41" i="24"/>
  <c r="E40" i="24"/>
  <c r="E39" i="24"/>
  <c r="E38" i="24"/>
  <c r="E37" i="24"/>
  <c r="E36" i="24"/>
  <c r="E35" i="24"/>
  <c r="E34" i="24"/>
  <c r="E33" i="24"/>
  <c r="F32" i="24"/>
  <c r="E31" i="24"/>
  <c r="E30" i="24"/>
  <c r="E29" i="24"/>
  <c r="E28" i="24"/>
  <c r="E27" i="24"/>
  <c r="E26" i="24"/>
  <c r="E25" i="24"/>
  <c r="E24" i="24"/>
  <c r="E23" i="24"/>
  <c r="E22" i="24"/>
  <c r="E21" i="24"/>
  <c r="E20" i="24"/>
  <c r="F30" i="39" l="1"/>
  <c r="P11" i="28"/>
  <c r="N37" i="28"/>
  <c r="N38" i="28" s="1"/>
  <c r="AR52" i="3"/>
  <c r="F28" i="38" s="1"/>
  <c r="S52" i="3"/>
  <c r="H26" i="27" s="1"/>
  <c r="AY52" i="3"/>
  <c r="F40" i="38" s="1"/>
  <c r="Z52" i="3"/>
  <c r="F10" i="36" s="1"/>
  <c r="H10" i="36" s="1"/>
  <c r="BF52" i="3"/>
  <c r="F16" i="39" s="1"/>
  <c r="AK52" i="3"/>
  <c r="E59" i="46"/>
  <c r="E83" i="46" s="1"/>
  <c r="E123" i="46" s="1"/>
  <c r="X52" i="3"/>
  <c r="F12" i="35" s="1"/>
  <c r="L12" i="35" s="1"/>
  <c r="BD52" i="3"/>
  <c r="F12" i="39" s="1"/>
  <c r="AE52" i="3"/>
  <c r="F15" i="37" s="1"/>
  <c r="BK52" i="3"/>
  <c r="F25" i="39" s="1"/>
  <c r="AL52" i="3"/>
  <c r="Q52" i="3"/>
  <c r="H26" i="26" s="1"/>
  <c r="AW52" i="3"/>
  <c r="F38" i="38" s="1"/>
  <c r="AF52" i="3"/>
  <c r="F9" i="38" s="1"/>
  <c r="H9" i="38" s="1"/>
  <c r="AV52" i="3"/>
  <c r="F36" i="38" s="1"/>
  <c r="BL52" i="3"/>
  <c r="F27" i="39" s="1"/>
  <c r="W52" i="3"/>
  <c r="F11" i="35" s="1"/>
  <c r="G11" i="35" s="1"/>
  <c r="M11" i="35" s="1"/>
  <c r="M30" i="35" s="1"/>
  <c r="AM52" i="3"/>
  <c r="F18" i="38" s="1"/>
  <c r="BC52" i="3"/>
  <c r="F11" i="39" s="1"/>
  <c r="N52" i="3"/>
  <c r="AD52" i="3"/>
  <c r="F14" i="37" s="1"/>
  <c r="AT52" i="3"/>
  <c r="F31" i="38" s="1"/>
  <c r="L31" i="38" s="1"/>
  <c r="F32" i="38" s="1"/>
  <c r="L32" i="38" s="1"/>
  <c r="BJ52" i="3"/>
  <c r="F24" i="39" s="1"/>
  <c r="Y52" i="3"/>
  <c r="F9" i="36" s="1"/>
  <c r="L9" i="36" s="1"/>
  <c r="AO52" i="3"/>
  <c r="F22" i="38" s="1"/>
  <c r="BE52" i="3"/>
  <c r="F14" i="39" s="1"/>
  <c r="B21" i="3"/>
  <c r="A22" i="3" s="1"/>
  <c r="H21" i="3"/>
  <c r="C21" i="3"/>
  <c r="D21" i="3" s="1"/>
  <c r="T52" i="3"/>
  <c r="I26" i="27" s="1"/>
  <c r="AJ52" i="3"/>
  <c r="F17" i="38" s="1"/>
  <c r="AZ52" i="3"/>
  <c r="BP52" i="3"/>
  <c r="F9" i="40" s="1"/>
  <c r="G9" i="40" s="1"/>
  <c r="AA52" i="3"/>
  <c r="F9" i="37" s="1"/>
  <c r="AQ52" i="3"/>
  <c r="F26" i="38" s="1"/>
  <c r="BG52" i="3"/>
  <c r="F19" i="39" s="1"/>
  <c r="R52" i="3"/>
  <c r="J26" i="26" s="1"/>
  <c r="AH52" i="3"/>
  <c r="F13" i="38" s="1"/>
  <c r="AX52" i="3"/>
  <c r="F39" i="38" s="1"/>
  <c r="BN52" i="3"/>
  <c r="F31" i="39" s="1"/>
  <c r="AC52" i="3"/>
  <c r="F13" i="37" s="1"/>
  <c r="H13" i="37" s="1"/>
  <c r="AC53" i="3" s="1"/>
  <c r="AS52" i="3"/>
  <c r="F30" i="38" s="1"/>
  <c r="F10" i="35"/>
  <c r="H10" i="35" s="1"/>
  <c r="L9" i="39"/>
  <c r="G10" i="37"/>
  <c r="C59" i="24"/>
  <c r="C83" i="24" s="1"/>
  <c r="J13" i="26"/>
  <c r="L33" i="31"/>
  <c r="L34" i="33"/>
  <c r="H17" i="26"/>
  <c r="E59" i="47"/>
  <c r="E83" i="47" s="1"/>
  <c r="E123" i="47" s="1"/>
  <c r="L23" i="30"/>
  <c r="L52" i="30" s="1"/>
  <c r="M58" i="34"/>
  <c r="N58" i="34" s="1"/>
  <c r="J17" i="26" s="1"/>
  <c r="F83" i="46"/>
  <c r="F123" i="46" s="1"/>
  <c r="D59" i="24"/>
  <c r="D83" i="24" s="1"/>
  <c r="D83" i="46"/>
  <c r="D123" i="46" s="1"/>
  <c r="J23" i="27"/>
  <c r="W10" i="3"/>
  <c r="Y9" i="3"/>
  <c r="Y8" i="3"/>
  <c r="H11" i="38"/>
  <c r="AG53" i="3" s="1"/>
  <c r="L11" i="38"/>
  <c r="H9" i="39"/>
  <c r="BA53" i="3" s="1"/>
  <c r="H9" i="35"/>
  <c r="U53" i="3" s="1"/>
  <c r="K16" i="36"/>
  <c r="F305" i="3"/>
  <c r="H305" i="3"/>
  <c r="G304" i="3"/>
  <c r="L39" i="29"/>
  <c r="L48" i="29" s="1"/>
  <c r="L61" i="29" s="1"/>
  <c r="B59" i="24"/>
  <c r="B83" i="24" s="1"/>
  <c r="F59" i="24"/>
  <c r="F83" i="24" s="1"/>
  <c r="F123" i="24" s="1"/>
  <c r="C7" i="25"/>
  <c r="B72" i="24"/>
  <c r="E66" i="24"/>
  <c r="B71" i="24" s="1"/>
  <c r="C3" i="25"/>
  <c r="B75" i="24"/>
  <c r="E32" i="24"/>
  <c r="X3" i="3"/>
  <c r="X4" i="3" s="1"/>
  <c r="O11" i="28"/>
  <c r="L11" i="28"/>
  <c r="O35" i="28"/>
  <c r="Q35" i="28" s="1"/>
  <c r="O15" i="28"/>
  <c r="Q15" i="28" s="1"/>
  <c r="O19" i="28"/>
  <c r="Q19" i="28" s="1"/>
  <c r="O32" i="28"/>
  <c r="Q32" i="28" s="1"/>
  <c r="K168" i="28"/>
  <c r="O16" i="28"/>
  <c r="Q16" i="28" s="1"/>
  <c r="M169" i="28"/>
  <c r="O17" i="28"/>
  <c r="O36" i="28"/>
  <c r="Q36" i="28" s="1"/>
  <c r="O12" i="28"/>
  <c r="Q12" i="28" s="1"/>
  <c r="O31" i="28"/>
  <c r="Q31" i="28" s="1"/>
  <c r="K169" i="28"/>
  <c r="P15" i="28"/>
  <c r="O20" i="28"/>
  <c r="Q20" i="28" s="1"/>
  <c r="O33" i="28"/>
  <c r="H23" i="26"/>
  <c r="L23" i="26" s="1"/>
  <c r="H36" i="25" s="1"/>
  <c r="K36" i="25" s="1"/>
  <c r="BR53" i="3" s="1"/>
  <c r="L13" i="26"/>
  <c r="A2" i="43"/>
  <c r="E58" i="24"/>
  <c r="E45" i="24"/>
  <c r="M10" i="35"/>
  <c r="K10" i="35"/>
  <c r="K4" i="35"/>
  <c r="K4" i="37"/>
  <c r="K4" i="36"/>
  <c r="K4" i="40"/>
  <c r="B8" i="24"/>
  <c r="K6" i="25" s="1"/>
  <c r="L3" i="25" s="1"/>
  <c r="K4" i="38"/>
  <c r="K4" i="39"/>
  <c r="L33" i="32"/>
  <c r="H14" i="26"/>
  <c r="L14" i="26" s="1"/>
  <c r="O13" i="28"/>
  <c r="L17" i="28"/>
  <c r="O18" i="28"/>
  <c r="Q18" i="28" s="1"/>
  <c r="O21" i="28"/>
  <c r="Q21" i="28" s="1"/>
  <c r="L33" i="28"/>
  <c r="O34" i="28"/>
  <c r="Q34" i="28" s="1"/>
  <c r="M168" i="28"/>
  <c r="P12" i="28"/>
  <c r="O14" i="28"/>
  <c r="Q14" i="28" s="1"/>
  <c r="O22" i="28"/>
  <c r="Q22" i="28" s="1"/>
  <c r="K11" i="36"/>
  <c r="F10" i="27" s="1"/>
  <c r="L10" i="55" l="1"/>
  <c r="H10" i="55"/>
  <c r="N10" i="55" s="1"/>
  <c r="J26" i="27"/>
  <c r="F41" i="38"/>
  <c r="G31" i="38"/>
  <c r="H31" i="38" s="1"/>
  <c r="N31" i="38" s="1"/>
  <c r="L10" i="36"/>
  <c r="L14" i="36" s="1"/>
  <c r="O37" i="28"/>
  <c r="O38" i="28" s="1"/>
  <c r="L37" i="28"/>
  <c r="L38" i="28" s="1"/>
  <c r="P37" i="28"/>
  <c r="P38" i="28" s="1"/>
  <c r="L11" i="35"/>
  <c r="L30" i="35" s="1"/>
  <c r="L26" i="26"/>
  <c r="H12" i="35"/>
  <c r="N12" i="35" s="1"/>
  <c r="Q33" i="28"/>
  <c r="L10" i="35"/>
  <c r="C22" i="3"/>
  <c r="D22" i="3" s="1"/>
  <c r="H22" i="3"/>
  <c r="A23" i="3"/>
  <c r="V53" i="3"/>
  <c r="N10" i="35"/>
  <c r="H11" i="35"/>
  <c r="N11" i="35" s="1"/>
  <c r="N30" i="35" s="1"/>
  <c r="AF53" i="3"/>
  <c r="Z53" i="3"/>
  <c r="L30" i="38"/>
  <c r="H30" i="38"/>
  <c r="H32" i="39"/>
  <c r="L32" i="39"/>
  <c r="L31" i="39"/>
  <c r="H31" i="39"/>
  <c r="H15" i="37"/>
  <c r="N15" i="37" s="1"/>
  <c r="L15" i="37"/>
  <c r="L30" i="39"/>
  <c r="H30" i="39"/>
  <c r="L14" i="38"/>
  <c r="G14" i="38"/>
  <c r="M14" i="38" s="1"/>
  <c r="L25" i="39"/>
  <c r="F26" i="39" s="1"/>
  <c r="G25" i="39"/>
  <c r="M25" i="39" s="1"/>
  <c r="G26" i="39" s="1"/>
  <c r="M26" i="39" s="1"/>
  <c r="L38" i="38"/>
  <c r="H38" i="38"/>
  <c r="L18" i="38"/>
  <c r="H18" i="38"/>
  <c r="H14" i="39"/>
  <c r="L14" i="39"/>
  <c r="H12" i="39"/>
  <c r="L12" i="39"/>
  <c r="L13" i="38"/>
  <c r="H13" i="38"/>
  <c r="H22" i="38"/>
  <c r="L22" i="38"/>
  <c r="L17" i="38"/>
  <c r="G17" i="38"/>
  <c r="M17" i="38" s="1"/>
  <c r="L24" i="38"/>
  <c r="F25" i="38" s="1"/>
  <c r="G24" i="38"/>
  <c r="M24" i="38" s="1"/>
  <c r="G25" i="38" s="1"/>
  <c r="M25" i="38" s="1"/>
  <c r="L28" i="38"/>
  <c r="F29" i="38" s="1"/>
  <c r="G28" i="38"/>
  <c r="M28" i="38" s="1"/>
  <c r="G29" i="38" s="1"/>
  <c r="M29" i="38" s="1"/>
  <c r="L36" i="38"/>
  <c r="G36" i="38"/>
  <c r="M36" i="38" s="1"/>
  <c r="L27" i="39"/>
  <c r="F28" i="39" s="1"/>
  <c r="G27" i="39"/>
  <c r="M27" i="39" s="1"/>
  <c r="G28" i="39" s="1"/>
  <c r="M28" i="39" s="1"/>
  <c r="L39" i="38"/>
  <c r="H39" i="38"/>
  <c r="L11" i="39"/>
  <c r="H11" i="39"/>
  <c r="L21" i="39"/>
  <c r="H21" i="39"/>
  <c r="H14" i="37"/>
  <c r="L14" i="37"/>
  <c r="L26" i="38"/>
  <c r="F27" i="38" s="1"/>
  <c r="G26" i="38"/>
  <c r="M26" i="38" s="1"/>
  <c r="G27" i="38" s="1"/>
  <c r="M27" i="38" s="1"/>
  <c r="L24" i="39"/>
  <c r="G24" i="39"/>
  <c r="M24" i="39" s="1"/>
  <c r="L40" i="38"/>
  <c r="H40" i="38"/>
  <c r="L20" i="38"/>
  <c r="F21" i="38" s="1"/>
  <c r="G20" i="38"/>
  <c r="M20" i="38" s="1"/>
  <c r="G21" i="38" s="1"/>
  <c r="M21" i="38" s="1"/>
  <c r="L19" i="39"/>
  <c r="F20" i="39" s="1"/>
  <c r="G19" i="39"/>
  <c r="M19" i="39" s="1"/>
  <c r="G20" i="39" s="1"/>
  <c r="M20" i="39" s="1"/>
  <c r="L9" i="40"/>
  <c r="M9" i="40"/>
  <c r="H10" i="39"/>
  <c r="L10" i="39"/>
  <c r="H9" i="37"/>
  <c r="L9" i="37"/>
  <c r="H23" i="39"/>
  <c r="L23" i="39"/>
  <c r="G16" i="39"/>
  <c r="L34" i="38"/>
  <c r="F35" i="38" s="1"/>
  <c r="G34" i="38"/>
  <c r="M34" i="38" s="1"/>
  <c r="G35" i="38" s="1"/>
  <c r="M35" i="38" s="1"/>
  <c r="L17" i="26"/>
  <c r="H32" i="25" s="1"/>
  <c r="K32" i="25" s="1"/>
  <c r="O53" i="3" s="1"/>
  <c r="H34" i="25"/>
  <c r="K34" i="25" s="1"/>
  <c r="BQ53" i="3" s="1"/>
  <c r="W12" i="3"/>
  <c r="Y11" i="3"/>
  <c r="Y10" i="3"/>
  <c r="N9" i="39"/>
  <c r="N11" i="38"/>
  <c r="N10" i="36"/>
  <c r="H9" i="36"/>
  <c r="Y53" i="3" s="1"/>
  <c r="M9" i="36"/>
  <c r="M14" i="36" s="1"/>
  <c r="H306" i="3"/>
  <c r="F306" i="3"/>
  <c r="G305" i="3"/>
  <c r="L70" i="29"/>
  <c r="L177" i="29" s="1"/>
  <c r="L186" i="29" s="1"/>
  <c r="E59" i="24"/>
  <c r="E83" i="24" s="1"/>
  <c r="E123" i="24" s="1"/>
  <c r="X5" i="3"/>
  <c r="X6" i="3" s="1"/>
  <c r="X7" i="3" s="1"/>
  <c r="Q11" i="28"/>
  <c r="N168" i="28"/>
  <c r="Q17" i="28"/>
  <c r="C3" i="26"/>
  <c r="A3" i="27" s="1"/>
  <c r="A3" i="28" s="1"/>
  <c r="C3" i="29" s="1"/>
  <c r="N169" i="28"/>
  <c r="Q13" i="28"/>
  <c r="B14" i="27"/>
  <c r="A14" i="27"/>
  <c r="B13" i="27"/>
  <c r="A13" i="27"/>
  <c r="B12" i="27"/>
  <c r="A12" i="27"/>
  <c r="B11" i="27"/>
  <c r="A11" i="27"/>
  <c r="B10" i="27"/>
  <c r="A10" i="27"/>
  <c r="B9" i="27"/>
  <c r="A9" i="27"/>
  <c r="L41" i="38" l="1"/>
  <c r="H41" i="38"/>
  <c r="AZ53" i="3" s="1"/>
  <c r="N11" i="55"/>
  <c r="I15" i="27" s="1"/>
  <c r="N15" i="55"/>
  <c r="N16" i="55" s="1"/>
  <c r="L15" i="55"/>
  <c r="L16" i="55" s="1"/>
  <c r="L11" i="55"/>
  <c r="G15" i="27" s="1"/>
  <c r="I26" i="25" s="1"/>
  <c r="G15" i="38"/>
  <c r="H46" i="38"/>
  <c r="L46" i="38"/>
  <c r="L51" i="38"/>
  <c r="H51" i="38"/>
  <c r="L45" i="38"/>
  <c r="H45" i="38"/>
  <c r="L50" i="38"/>
  <c r="H50" i="38"/>
  <c r="H44" i="38"/>
  <c r="L44" i="38"/>
  <c r="L47" i="38"/>
  <c r="H47" i="38"/>
  <c r="L48" i="38"/>
  <c r="H48" i="38"/>
  <c r="L49" i="38"/>
  <c r="H49" i="38"/>
  <c r="M31" i="38"/>
  <c r="G32" i="38" s="1"/>
  <c r="H32" i="38" s="1"/>
  <c r="N32" i="38" s="1"/>
  <c r="AT53" i="3"/>
  <c r="X53" i="3"/>
  <c r="Q37" i="28"/>
  <c r="Q38" i="28" s="1"/>
  <c r="W53" i="3"/>
  <c r="H23" i="3"/>
  <c r="A24" i="3"/>
  <c r="C23" i="3"/>
  <c r="D23" i="3" s="1"/>
  <c r="H14" i="38"/>
  <c r="AI53" i="3" s="1"/>
  <c r="H17" i="38"/>
  <c r="AJ53" i="3" s="1"/>
  <c r="N21" i="39"/>
  <c r="BH53" i="3"/>
  <c r="H26" i="38"/>
  <c r="AQ53" i="3" s="1"/>
  <c r="H27" i="39"/>
  <c r="N27" i="39" s="1"/>
  <c r="N32" i="39"/>
  <c r="BO53" i="3"/>
  <c r="N31" i="39"/>
  <c r="BN53" i="3"/>
  <c r="N30" i="39"/>
  <c r="BM53" i="3"/>
  <c r="H25" i="39"/>
  <c r="H24" i="39"/>
  <c r="N23" i="39"/>
  <c r="BI53" i="3"/>
  <c r="N14" i="39"/>
  <c r="BE53" i="3"/>
  <c r="N12" i="39"/>
  <c r="BD53" i="3"/>
  <c r="N11" i="39"/>
  <c r="BC53" i="3"/>
  <c r="N10" i="39"/>
  <c r="BB53" i="3"/>
  <c r="N40" i="38"/>
  <c r="AY53" i="3"/>
  <c r="N39" i="38"/>
  <c r="AX53" i="3"/>
  <c r="N38" i="38"/>
  <c r="AW53" i="3"/>
  <c r="H36" i="38"/>
  <c r="N30" i="38"/>
  <c r="AS53" i="3"/>
  <c r="N22" i="38"/>
  <c r="AO53" i="3"/>
  <c r="N18" i="38"/>
  <c r="AM53" i="3"/>
  <c r="N13" i="38"/>
  <c r="AH53" i="3"/>
  <c r="N14" i="37"/>
  <c r="AD53" i="3"/>
  <c r="N9" i="37"/>
  <c r="AA53" i="3"/>
  <c r="H28" i="38"/>
  <c r="L36" i="39"/>
  <c r="H9" i="40"/>
  <c r="L25" i="38"/>
  <c r="H25" i="38"/>
  <c r="N25" i="38" s="1"/>
  <c r="H19" i="39"/>
  <c r="L21" i="38"/>
  <c r="H21" i="38"/>
  <c r="N21" i="38" s="1"/>
  <c r="L27" i="38"/>
  <c r="H27" i="38"/>
  <c r="N27" i="38" s="1"/>
  <c r="L29" i="38"/>
  <c r="H29" i="38"/>
  <c r="N29" i="38" s="1"/>
  <c r="L35" i="38"/>
  <c r="H35" i="38"/>
  <c r="N35" i="38" s="1"/>
  <c r="F15" i="38"/>
  <c r="L15" i="38" s="1"/>
  <c r="G10" i="40"/>
  <c r="L20" i="39"/>
  <c r="H20" i="39"/>
  <c r="N20" i="39" s="1"/>
  <c r="L26" i="39"/>
  <c r="H26" i="39"/>
  <c r="N26" i="39" s="1"/>
  <c r="H16" i="39"/>
  <c r="H34" i="38"/>
  <c r="F10" i="40"/>
  <c r="L10" i="40" s="1"/>
  <c r="L15" i="40" s="1"/>
  <c r="H20" i="38"/>
  <c r="L28" i="39"/>
  <c r="H28" i="39"/>
  <c r="N28" i="39" s="1"/>
  <c r="H24" i="38"/>
  <c r="G306" i="3"/>
  <c r="M16" i="36"/>
  <c r="Y13" i="3"/>
  <c r="W14" i="3"/>
  <c r="Y12" i="3"/>
  <c r="C42" i="29"/>
  <c r="C180" i="29"/>
  <c r="C64" i="29"/>
  <c r="C245" i="29"/>
  <c r="N9" i="36"/>
  <c r="N14" i="36" s="1"/>
  <c r="L11" i="36"/>
  <c r="G10" i="27" s="1"/>
  <c r="I16" i="25" s="1"/>
  <c r="L16" i="36"/>
  <c r="H307" i="3"/>
  <c r="F307" i="3"/>
  <c r="X8" i="3"/>
  <c r="X9" i="3" s="1"/>
  <c r="L168" i="28"/>
  <c r="L169" i="28"/>
  <c r="P168" i="28"/>
  <c r="P169" i="28"/>
  <c r="O169" i="28"/>
  <c r="O168" i="28"/>
  <c r="A3" i="30"/>
  <c r="A3" i="31" s="1"/>
  <c r="A3" i="32" s="1"/>
  <c r="N41" i="38" l="1"/>
  <c r="M15" i="38"/>
  <c r="H26" i="25"/>
  <c r="K26" i="25" s="1"/>
  <c r="J15" i="27"/>
  <c r="L56" i="38"/>
  <c r="N51" i="38"/>
  <c r="CA53" i="3"/>
  <c r="N50" i="38"/>
  <c r="BZ53" i="3"/>
  <c r="N49" i="38"/>
  <c r="BY53" i="3"/>
  <c r="N48" i="38"/>
  <c r="BX53" i="3"/>
  <c r="N47" i="38"/>
  <c r="BW53" i="3"/>
  <c r="N46" i="38"/>
  <c r="BV53" i="3"/>
  <c r="N45" i="38"/>
  <c r="BU53" i="3"/>
  <c r="N44" i="38"/>
  <c r="BT53" i="3"/>
  <c r="M32" i="38"/>
  <c r="N26" i="38"/>
  <c r="N17" i="38"/>
  <c r="N14" i="38"/>
  <c r="BL53" i="3"/>
  <c r="A25" i="3"/>
  <c r="C24" i="3"/>
  <c r="D24" i="3" s="1"/>
  <c r="H24" i="3"/>
  <c r="N36" i="39"/>
  <c r="N9" i="40"/>
  <c r="BP53" i="3"/>
  <c r="N25" i="39"/>
  <c r="BK53" i="3"/>
  <c r="N24" i="39"/>
  <c r="BJ53" i="3"/>
  <c r="N19" i="39"/>
  <c r="BG53" i="3"/>
  <c r="BF53" i="3"/>
  <c r="N36" i="38"/>
  <c r="AV53" i="3"/>
  <c r="N34" i="38"/>
  <c r="AU53" i="3"/>
  <c r="N28" i="38"/>
  <c r="AR53" i="3"/>
  <c r="N24" i="38"/>
  <c r="AP53" i="3"/>
  <c r="N20" i="38"/>
  <c r="AN53" i="3"/>
  <c r="AL53" i="3"/>
  <c r="AK53" i="3"/>
  <c r="H15" i="38"/>
  <c r="N15" i="38" s="1"/>
  <c r="H10" i="40"/>
  <c r="M10" i="40"/>
  <c r="M15" i="40" s="1"/>
  <c r="G307" i="3"/>
  <c r="N16" i="36"/>
  <c r="Q168" i="28"/>
  <c r="Y15" i="3"/>
  <c r="Y14" i="3"/>
  <c r="W16" i="3"/>
  <c r="M11" i="36"/>
  <c r="H10" i="27" s="1"/>
  <c r="N11" i="36"/>
  <c r="I10" i="27" s="1"/>
  <c r="J10" i="27" s="1"/>
  <c r="J11" i="36"/>
  <c r="E10" i="27" s="1"/>
  <c r="J16" i="36"/>
  <c r="H308" i="3"/>
  <c r="F308" i="3"/>
  <c r="H309" i="3" s="1"/>
  <c r="X10" i="3"/>
  <c r="Q169" i="28"/>
  <c r="A3" i="33"/>
  <c r="A3" i="34" s="1"/>
  <c r="M56" i="38" l="1"/>
  <c r="N56" i="38"/>
  <c r="C25" i="3"/>
  <c r="D25" i="3" s="1"/>
  <c r="H25" i="3"/>
  <c r="A26" i="3"/>
  <c r="N10" i="40"/>
  <c r="N15" i="40" s="1"/>
  <c r="X11" i="3"/>
  <c r="X12" i="3" s="1"/>
  <c r="G308" i="3"/>
  <c r="F309" i="3"/>
  <c r="W18" i="3"/>
  <c r="Y17" i="3"/>
  <c r="Y16" i="3"/>
  <c r="H16" i="25"/>
  <c r="K16" i="25" s="1"/>
  <c r="H310" i="3"/>
  <c r="F310" i="3"/>
  <c r="C26" i="3" l="1"/>
  <c r="D26" i="3" s="1"/>
  <c r="H26" i="3"/>
  <c r="A27" i="3"/>
  <c r="G309" i="3"/>
  <c r="G310" i="3" s="1"/>
  <c r="Y19" i="3"/>
  <c r="Y18" i="3"/>
  <c r="W20" i="3"/>
  <c r="F311" i="3"/>
  <c r="H311" i="3"/>
  <c r="X13" i="3"/>
  <c r="J9" i="35"/>
  <c r="M9" i="35"/>
  <c r="N9" i="35"/>
  <c r="K9" i="35"/>
  <c r="L9" i="35"/>
  <c r="J29" i="35" l="1"/>
  <c r="J31" i="35" s="1"/>
  <c r="J26" i="35"/>
  <c r="M29" i="35"/>
  <c r="M31" i="35" s="1"/>
  <c r="M26" i="35"/>
  <c r="H9" i="27" s="1"/>
  <c r="K29" i="35"/>
  <c r="K31" i="35" s="1"/>
  <c r="K26" i="35"/>
  <c r="F9" i="27" s="1"/>
  <c r="N29" i="35"/>
  <c r="N31" i="35" s="1"/>
  <c r="N26" i="35"/>
  <c r="L29" i="35"/>
  <c r="L31" i="35" s="1"/>
  <c r="L26" i="35"/>
  <c r="H27" i="3"/>
  <c r="A28" i="3"/>
  <c r="C27" i="3"/>
  <c r="D27" i="3" s="1"/>
  <c r="L13" i="37"/>
  <c r="L19" i="37" s="1"/>
  <c r="J16" i="39"/>
  <c r="J37" i="39" s="1"/>
  <c r="J38" i="39" s="1"/>
  <c r="K16" i="39"/>
  <c r="L16" i="39"/>
  <c r="M16" i="39"/>
  <c r="G17" i="39" s="1"/>
  <c r="M17" i="39" s="1"/>
  <c r="M37" i="39" s="1"/>
  <c r="M38" i="39" s="1"/>
  <c r="N16" i="39"/>
  <c r="J13" i="37"/>
  <c r="J19" i="37" s="1"/>
  <c r="K13" i="37"/>
  <c r="K19" i="37" s="1"/>
  <c r="M13" i="37"/>
  <c r="M19" i="37" s="1"/>
  <c r="N13" i="37"/>
  <c r="N19" i="37" s="1"/>
  <c r="G311" i="3"/>
  <c r="Y21" i="3"/>
  <c r="W22" i="3"/>
  <c r="Y20" i="3"/>
  <c r="H312" i="3"/>
  <c r="F312" i="3"/>
  <c r="X14" i="3"/>
  <c r="K9" i="38"/>
  <c r="K55" i="38" s="1"/>
  <c r="N9" i="38"/>
  <c r="N55" i="38" s="1"/>
  <c r="L9" i="38"/>
  <c r="L55" i="38" s="1"/>
  <c r="J9" i="38"/>
  <c r="J55" i="38" s="1"/>
  <c r="M9" i="38"/>
  <c r="M55" i="38" s="1"/>
  <c r="G9" i="27" l="1"/>
  <c r="I9" i="27"/>
  <c r="L57" i="38"/>
  <c r="L52" i="38"/>
  <c r="G12" i="27" s="1"/>
  <c r="I20" i="25" s="1"/>
  <c r="K57" i="38"/>
  <c r="K52" i="38"/>
  <c r="F12" i="27" s="1"/>
  <c r="N57" i="38"/>
  <c r="N52" i="38"/>
  <c r="I12" i="27" s="1"/>
  <c r="M57" i="38"/>
  <c r="M52" i="38"/>
  <c r="H12" i="27" s="1"/>
  <c r="J57" i="38"/>
  <c r="J52" i="38"/>
  <c r="E12" i="27" s="1"/>
  <c r="F20" i="3"/>
  <c r="G20" i="3" s="1"/>
  <c r="F21" i="3"/>
  <c r="G21" i="3" s="1"/>
  <c r="F22" i="3"/>
  <c r="G22" i="3" s="1"/>
  <c r="F23" i="3"/>
  <c r="G23" i="3" s="1"/>
  <c r="F24" i="3"/>
  <c r="G24" i="3" s="1"/>
  <c r="F25" i="3"/>
  <c r="G25" i="3" s="1"/>
  <c r="F26" i="3"/>
  <c r="G26" i="3" s="1"/>
  <c r="F27" i="3"/>
  <c r="G27" i="3" s="1"/>
  <c r="C28" i="3"/>
  <c r="D28" i="3" s="1"/>
  <c r="H28" i="3"/>
  <c r="A29" i="3"/>
  <c r="F28" i="3"/>
  <c r="G28" i="3" s="1"/>
  <c r="J33" i="39"/>
  <c r="E13" i="27" s="1"/>
  <c r="F17" i="39"/>
  <c r="M33" i="39"/>
  <c r="H13" i="27" s="1"/>
  <c r="E17" i="39"/>
  <c r="K17" i="39" s="1"/>
  <c r="K33" i="39" s="1"/>
  <c r="F13" i="27" s="1"/>
  <c r="G312" i="3"/>
  <c r="Y23" i="3"/>
  <c r="W24" i="3"/>
  <c r="Y22" i="3"/>
  <c r="F313" i="3"/>
  <c r="H313" i="3"/>
  <c r="X15" i="3"/>
  <c r="K10" i="37"/>
  <c r="J10" i="37"/>
  <c r="J20" i="37" s="1"/>
  <c r="M10" i="37"/>
  <c r="I14" i="25" l="1"/>
  <c r="H14" i="25"/>
  <c r="J9" i="27"/>
  <c r="E11" i="37"/>
  <c r="K11" i="37" s="1"/>
  <c r="K20" i="37" s="1"/>
  <c r="F29" i="3"/>
  <c r="G29" i="3" s="1"/>
  <c r="A30" i="3"/>
  <c r="C29" i="3"/>
  <c r="D29" i="3" s="1"/>
  <c r="H29" i="3"/>
  <c r="K37" i="39"/>
  <c r="K38" i="39" s="1"/>
  <c r="L17" i="39"/>
  <c r="H17" i="39"/>
  <c r="N17" i="39" s="1"/>
  <c r="J12" i="27"/>
  <c r="G11" i="37"/>
  <c r="M11" i="37" s="1"/>
  <c r="M20" i="37" s="1"/>
  <c r="G313" i="3"/>
  <c r="Y25" i="3"/>
  <c r="Y24" i="3"/>
  <c r="W26" i="3"/>
  <c r="F314" i="3"/>
  <c r="H314" i="3"/>
  <c r="X16" i="3"/>
  <c r="X17" i="3" s="1"/>
  <c r="X18" i="3" s="1"/>
  <c r="X19" i="3" s="1"/>
  <c r="X20" i="3" s="1"/>
  <c r="X21" i="3" s="1"/>
  <c r="X22" i="3" s="1"/>
  <c r="X23" i="3" s="1"/>
  <c r="X24" i="3" s="1"/>
  <c r="X25" i="3" s="1"/>
  <c r="X26" i="3" s="1"/>
  <c r="X27" i="3" s="1"/>
  <c r="X28" i="3" s="1"/>
  <c r="X29" i="3" s="1"/>
  <c r="X30" i="3" s="1"/>
  <c r="H20" i="25"/>
  <c r="K20" i="25" s="1"/>
  <c r="K14" i="25" l="1"/>
  <c r="A31" i="3"/>
  <c r="F30" i="3"/>
  <c r="G30" i="3" s="1"/>
  <c r="H30" i="3"/>
  <c r="C30" i="3"/>
  <c r="D30" i="3" s="1"/>
  <c r="N33" i="39"/>
  <c r="I13" i="27" s="1"/>
  <c r="N37" i="39"/>
  <c r="L33" i="39"/>
  <c r="G13" i="27" s="1"/>
  <c r="I22" i="25" s="1"/>
  <c r="L37" i="39"/>
  <c r="L38" i="39" s="1"/>
  <c r="L11" i="40"/>
  <c r="G314" i="3"/>
  <c r="W28" i="3"/>
  <c r="Y27" i="3"/>
  <c r="Y26" i="3"/>
  <c r="F315" i="3"/>
  <c r="H315" i="3"/>
  <c r="X31" i="3"/>
  <c r="N38" i="39" l="1"/>
  <c r="I24" i="27"/>
  <c r="C31" i="3"/>
  <c r="D31" i="3" s="1"/>
  <c r="H31" i="3"/>
  <c r="A32" i="3"/>
  <c r="F31" i="3"/>
  <c r="G31" i="3" s="1"/>
  <c r="H22" i="25"/>
  <c r="K22" i="25" s="1"/>
  <c r="J13" i="27"/>
  <c r="G315" i="3"/>
  <c r="Y29" i="3"/>
  <c r="W30" i="3"/>
  <c r="Y28" i="3"/>
  <c r="F316" i="3"/>
  <c r="H316" i="3"/>
  <c r="X32" i="3"/>
  <c r="X33" i="3" s="1"/>
  <c r="F32" i="3" l="1"/>
  <c r="G32" i="3" s="1"/>
  <c r="C32" i="3"/>
  <c r="D32" i="3" s="1"/>
  <c r="H32" i="3"/>
  <c r="A33" i="3"/>
  <c r="G316" i="3"/>
  <c r="Y31" i="3"/>
  <c r="Y30" i="3"/>
  <c r="W32" i="3"/>
  <c r="F317" i="3"/>
  <c r="H317" i="3"/>
  <c r="X34" i="3"/>
  <c r="X35" i="3" s="1"/>
  <c r="X36" i="3" s="1"/>
  <c r="X37" i="3" s="1"/>
  <c r="X38" i="3" s="1"/>
  <c r="X39" i="3" s="1"/>
  <c r="X40" i="3" s="1"/>
  <c r="X41" i="3" s="1"/>
  <c r="U2" i="3" s="1"/>
  <c r="A20" i="24" s="1"/>
  <c r="A20" i="46" l="1"/>
  <c r="A21" i="24"/>
  <c r="A20" i="47"/>
  <c r="A32" i="24"/>
  <c r="C33" i="3"/>
  <c r="D33" i="3" s="1"/>
  <c r="F33" i="3"/>
  <c r="G33" i="3" s="1"/>
  <c r="H33" i="3"/>
  <c r="B33" i="3"/>
  <c r="A34" i="3" s="1"/>
  <c r="G317" i="3"/>
  <c r="Y33" i="3"/>
  <c r="Y32" i="3"/>
  <c r="W34" i="3"/>
  <c r="F318" i="3"/>
  <c r="H318" i="3"/>
  <c r="A21" i="47" l="1"/>
  <c r="A21" i="46"/>
  <c r="A22" i="24"/>
  <c r="A32" i="47"/>
  <c r="A32" i="46"/>
  <c r="H34" i="3"/>
  <c r="A35" i="3"/>
  <c r="C34" i="3"/>
  <c r="D34" i="3" s="1"/>
  <c r="F34" i="3"/>
  <c r="G34" i="3" s="1"/>
  <c r="G318" i="3"/>
  <c r="Y35" i="3"/>
  <c r="Y34" i="3"/>
  <c r="W36" i="3"/>
  <c r="F319" i="3"/>
  <c r="H319" i="3"/>
  <c r="A22" i="47" l="1"/>
  <c r="A23" i="24"/>
  <c r="A22" i="46"/>
  <c r="F35" i="3"/>
  <c r="G35" i="3" s="1"/>
  <c r="C35" i="3"/>
  <c r="D35" i="3" s="1"/>
  <c r="A36" i="3"/>
  <c r="H35" i="3"/>
  <c r="G319" i="3"/>
  <c r="Y37" i="3"/>
  <c r="W38" i="3"/>
  <c r="Y36" i="3"/>
  <c r="F320" i="3"/>
  <c r="H320" i="3"/>
  <c r="A23" i="47" l="1"/>
  <c r="A24" i="24"/>
  <c r="A23" i="46"/>
  <c r="H36" i="3"/>
  <c r="A37" i="3"/>
  <c r="F36" i="3"/>
  <c r="G36" i="3" s="1"/>
  <c r="C36" i="3"/>
  <c r="D36" i="3" s="1"/>
  <c r="G320" i="3"/>
  <c r="W40" i="3"/>
  <c r="Y39" i="3"/>
  <c r="Y38" i="3"/>
  <c r="F321" i="3"/>
  <c r="H321" i="3"/>
  <c r="A25" i="24" l="1"/>
  <c r="A24" i="47"/>
  <c r="A24" i="46"/>
  <c r="F37" i="3"/>
  <c r="G37" i="3" s="1"/>
  <c r="C37" i="3"/>
  <c r="D37" i="3" s="1"/>
  <c r="H37" i="3"/>
  <c r="A38" i="3"/>
  <c r="G321" i="3"/>
  <c r="Y41" i="3"/>
  <c r="Y40" i="3"/>
  <c r="F322" i="3"/>
  <c r="H322" i="3"/>
  <c r="A25" i="46" l="1"/>
  <c r="A25" i="47"/>
  <c r="A26" i="24"/>
  <c r="G322" i="3"/>
  <c r="F38" i="3"/>
  <c r="G38" i="3" s="1"/>
  <c r="A39" i="3"/>
  <c r="C38" i="3"/>
  <c r="D38" i="3" s="1"/>
  <c r="H38" i="3"/>
  <c r="F323" i="3"/>
  <c r="H323" i="3"/>
  <c r="G323" i="3" l="1"/>
  <c r="A27" i="24"/>
  <c r="A26" i="46"/>
  <c r="A26" i="47"/>
  <c r="H39" i="3"/>
  <c r="A40" i="3"/>
  <c r="F39" i="3"/>
  <c r="G39" i="3" s="1"/>
  <c r="C39" i="3"/>
  <c r="D39" i="3" s="1"/>
  <c r="F324" i="3"/>
  <c r="G324" i="3" s="1"/>
  <c r="H324" i="3"/>
  <c r="A27" i="46" l="1"/>
  <c r="A27" i="47"/>
  <c r="A28" i="24"/>
  <c r="H40" i="3"/>
  <c r="A41" i="3"/>
  <c r="C40" i="3"/>
  <c r="D40" i="3" s="1"/>
  <c r="F40" i="3"/>
  <c r="G40" i="3" s="1"/>
  <c r="F325" i="3"/>
  <c r="G325" i="3" s="1"/>
  <c r="H325" i="3"/>
  <c r="A29" i="24" l="1"/>
  <c r="A28" i="47"/>
  <c r="A28" i="46"/>
  <c r="F41" i="3"/>
  <c r="G41" i="3" s="1"/>
  <c r="C41" i="3"/>
  <c r="D41" i="3" s="1"/>
  <c r="A42" i="3"/>
  <c r="H41" i="3"/>
  <c r="H326" i="3"/>
  <c r="F326" i="3"/>
  <c r="G326" i="3" s="1"/>
  <c r="A29" i="47" l="1"/>
  <c r="A29" i="46"/>
  <c r="A30" i="24"/>
  <c r="C42" i="3"/>
  <c r="D42" i="3" s="1"/>
  <c r="H42" i="3"/>
  <c r="A43" i="3"/>
  <c r="F42" i="3"/>
  <c r="G42" i="3" s="1"/>
  <c r="F327" i="3"/>
  <c r="G327" i="3" s="1"/>
  <c r="H327" i="3"/>
  <c r="A30" i="46" l="1"/>
  <c r="A30" i="47"/>
  <c r="A31" i="24"/>
  <c r="H43" i="3"/>
  <c r="F43" i="3"/>
  <c r="G43" i="3" s="1"/>
  <c r="C43" i="3"/>
  <c r="D43" i="3" s="1"/>
  <c r="A44" i="3"/>
  <c r="F328" i="3"/>
  <c r="G328" i="3" s="1"/>
  <c r="H328" i="3"/>
  <c r="A33" i="24" l="1"/>
  <c r="A31" i="46"/>
  <c r="A31" i="47"/>
  <c r="C44" i="3"/>
  <c r="D44" i="3" s="1"/>
  <c r="H44" i="3"/>
  <c r="F44" i="3"/>
  <c r="G44" i="3" s="1"/>
  <c r="A45" i="3"/>
  <c r="F329" i="3"/>
  <c r="G329" i="3" s="1"/>
  <c r="H329" i="3"/>
  <c r="A33" i="47" l="1"/>
  <c r="A33" i="46"/>
  <c r="A34" i="24"/>
  <c r="A45" i="24"/>
  <c r="H45" i="3"/>
  <c r="B45" i="3"/>
  <c r="A46" i="3" s="1"/>
  <c r="C45" i="3"/>
  <c r="D45" i="3" s="1"/>
  <c r="F45" i="3"/>
  <c r="G45" i="3" s="1"/>
  <c r="F330" i="3"/>
  <c r="G330" i="3" s="1"/>
  <c r="H330" i="3"/>
  <c r="A45" i="47" l="1"/>
  <c r="A45" i="46"/>
  <c r="A34" i="47"/>
  <c r="A35" i="24"/>
  <c r="A34" i="46"/>
  <c r="H46" i="3"/>
  <c r="A47" i="3"/>
  <c r="F46" i="3"/>
  <c r="G46" i="3" s="1"/>
  <c r="C46" i="3"/>
  <c r="D46" i="3" s="1"/>
  <c r="F331" i="3"/>
  <c r="G331" i="3" s="1"/>
  <c r="H331" i="3"/>
  <c r="A35" i="47" l="1"/>
  <c r="A36" i="24"/>
  <c r="A35" i="46"/>
  <c r="C47" i="3"/>
  <c r="D47" i="3" s="1"/>
  <c r="H47" i="3"/>
  <c r="F47" i="3"/>
  <c r="G47" i="3" s="1"/>
  <c r="A48" i="3"/>
  <c r="F332" i="3"/>
  <c r="G332" i="3" s="1"/>
  <c r="H332" i="3"/>
  <c r="A36" i="46" l="1"/>
  <c r="A36" i="47"/>
  <c r="A37" i="24"/>
  <c r="A49" i="3"/>
  <c r="F48" i="3"/>
  <c r="G48" i="3" s="1"/>
  <c r="C48" i="3"/>
  <c r="D48" i="3" s="1"/>
  <c r="H48" i="3"/>
  <c r="F333" i="3"/>
  <c r="G333" i="3" s="1"/>
  <c r="H333" i="3"/>
  <c r="A37" i="46" l="1"/>
  <c r="A38" i="24"/>
  <c r="A37" i="47"/>
  <c r="F49" i="3"/>
  <c r="G49" i="3" s="1"/>
  <c r="A50" i="3"/>
  <c r="C49" i="3"/>
  <c r="D49" i="3" s="1"/>
  <c r="H49" i="3"/>
  <c r="F334" i="3"/>
  <c r="G334" i="3" s="1"/>
  <c r="H334" i="3"/>
  <c r="A38" i="46" l="1"/>
  <c r="A39" i="24"/>
  <c r="A38" i="47"/>
  <c r="F50" i="3"/>
  <c r="G50" i="3" s="1"/>
  <c r="C50" i="3"/>
  <c r="D50" i="3" s="1"/>
  <c r="H50" i="3"/>
  <c r="A51" i="3"/>
  <c r="F335" i="3"/>
  <c r="G335" i="3" s="1"/>
  <c r="H335" i="3"/>
  <c r="A39" i="47" l="1"/>
  <c r="A40" i="24"/>
  <c r="A39" i="46"/>
  <c r="H51" i="3"/>
  <c r="A52" i="3"/>
  <c r="F51" i="3"/>
  <c r="G51" i="3" s="1"/>
  <c r="C51" i="3"/>
  <c r="D51" i="3" s="1"/>
  <c r="F336" i="3"/>
  <c r="G336" i="3" s="1"/>
  <c r="H336" i="3"/>
  <c r="A41" i="24" l="1"/>
  <c r="A40" i="47"/>
  <c r="A40" i="46"/>
  <c r="A53" i="3"/>
  <c r="H52" i="3"/>
  <c r="F52" i="3"/>
  <c r="G52" i="3" s="1"/>
  <c r="C52" i="3"/>
  <c r="D52" i="3" s="1"/>
  <c r="F337" i="3"/>
  <c r="G337" i="3" s="1"/>
  <c r="H337" i="3"/>
  <c r="A42" i="24" l="1"/>
  <c r="A41" i="47"/>
  <c r="A41" i="46"/>
  <c r="F53" i="3"/>
  <c r="G53" i="3" s="1"/>
  <c r="C53" i="3"/>
  <c r="D53" i="3" s="1"/>
  <c r="H53" i="3"/>
  <c r="A54" i="3"/>
  <c r="H338" i="3"/>
  <c r="F338" i="3"/>
  <c r="G338" i="3" s="1"/>
  <c r="A42" i="46" l="1"/>
  <c r="A42" i="47"/>
  <c r="A43" i="24"/>
  <c r="F54" i="3"/>
  <c r="G54" i="3" s="1"/>
  <c r="H54" i="3"/>
  <c r="A55" i="3"/>
  <c r="C54" i="3"/>
  <c r="D54" i="3" s="1"/>
  <c r="F339" i="3"/>
  <c r="G339" i="3" s="1"/>
  <c r="H339" i="3"/>
  <c r="A43" i="47" l="1"/>
  <c r="A44" i="24"/>
  <c r="A43" i="46"/>
  <c r="C55" i="3"/>
  <c r="D55" i="3" s="1"/>
  <c r="H55" i="3"/>
  <c r="A56" i="3"/>
  <c r="F55" i="3"/>
  <c r="G55" i="3" s="1"/>
  <c r="F340" i="3"/>
  <c r="G340" i="3" s="1"/>
  <c r="H340" i="3"/>
  <c r="A44" i="46" l="1"/>
  <c r="A44" i="47"/>
  <c r="A46" i="24"/>
  <c r="A57" i="3"/>
  <c r="F56" i="3"/>
  <c r="G56" i="3" s="1"/>
  <c r="H56" i="3"/>
  <c r="C56" i="3"/>
  <c r="D56" i="3" s="1"/>
  <c r="F341" i="3"/>
  <c r="G341" i="3" s="1"/>
  <c r="H341" i="3"/>
  <c r="A46" i="46" l="1"/>
  <c r="A46" i="47"/>
  <c r="A47" i="24"/>
  <c r="A58" i="24"/>
  <c r="F57" i="3"/>
  <c r="G57" i="3" s="1"/>
  <c r="H57" i="3"/>
  <c r="B57" i="3"/>
  <c r="A58" i="3" s="1"/>
  <c r="C57" i="3"/>
  <c r="D57" i="3" s="1"/>
  <c r="F342" i="3"/>
  <c r="G342" i="3" s="1"/>
  <c r="H342" i="3"/>
  <c r="A58" i="47" l="1"/>
  <c r="A58" i="46"/>
  <c r="A47" i="46"/>
  <c r="A47" i="47"/>
  <c r="A48" i="24"/>
  <c r="A59" i="3"/>
  <c r="F58" i="3"/>
  <c r="G58" i="3" s="1"/>
  <c r="C58" i="3"/>
  <c r="D58" i="3" s="1"/>
  <c r="H58" i="3"/>
  <c r="F343" i="3"/>
  <c r="G343" i="3" s="1"/>
  <c r="H343" i="3"/>
  <c r="A48" i="46" l="1"/>
  <c r="A49" i="24"/>
  <c r="A48" i="47"/>
  <c r="A60" i="3"/>
  <c r="H59" i="3"/>
  <c r="F59" i="3"/>
  <c r="G59" i="3" s="1"/>
  <c r="C59" i="3"/>
  <c r="D59" i="3" s="1"/>
  <c r="F344" i="3"/>
  <c r="G344" i="3" s="1"/>
  <c r="H344" i="3"/>
  <c r="A49" i="46" l="1"/>
  <c r="A50" i="24"/>
  <c r="A49" i="47"/>
  <c r="A61" i="3"/>
  <c r="F60" i="3"/>
  <c r="G60" i="3" s="1"/>
  <c r="C60" i="3"/>
  <c r="D60" i="3" s="1"/>
  <c r="H60" i="3"/>
  <c r="F345" i="3"/>
  <c r="G345" i="3" s="1"/>
  <c r="H345" i="3"/>
  <c r="A50" i="46" l="1"/>
  <c r="A51" i="24"/>
  <c r="A50" i="47"/>
  <c r="F61" i="3"/>
  <c r="G61" i="3" s="1"/>
  <c r="H61" i="3"/>
  <c r="A62" i="3"/>
  <c r="C61" i="3"/>
  <c r="D61" i="3" s="1"/>
  <c r="F346" i="3"/>
  <c r="G346" i="3" s="1"/>
  <c r="H346" i="3"/>
  <c r="A51" i="46" l="1"/>
  <c r="A51" i="47"/>
  <c r="A52" i="24"/>
  <c r="H62" i="3"/>
  <c r="A63" i="3"/>
  <c r="F62" i="3"/>
  <c r="G62" i="3" s="1"/>
  <c r="C62" i="3"/>
  <c r="D62" i="3" s="1"/>
  <c r="F347" i="3"/>
  <c r="G347" i="3" s="1"/>
  <c r="H347" i="3"/>
  <c r="A52" i="47" l="1"/>
  <c r="A53" i="24"/>
  <c r="A52" i="46"/>
  <c r="A64" i="3"/>
  <c r="F63" i="3"/>
  <c r="G63" i="3" s="1"/>
  <c r="H63" i="3"/>
  <c r="C63" i="3"/>
  <c r="D63" i="3" s="1"/>
  <c r="F348" i="3"/>
  <c r="G348" i="3" s="1"/>
  <c r="H348" i="3"/>
  <c r="A53" i="46" l="1"/>
  <c r="A53" i="47"/>
  <c r="A54" i="24"/>
  <c r="C64" i="3"/>
  <c r="D64" i="3" s="1"/>
  <c r="H64" i="3"/>
  <c r="A65" i="3"/>
  <c r="F64" i="3"/>
  <c r="G64" i="3" s="1"/>
  <c r="F349" i="3"/>
  <c r="G349" i="3" s="1"/>
  <c r="H349" i="3"/>
  <c r="A54" i="46" l="1"/>
  <c r="A55" i="24"/>
  <c r="A54" i="47"/>
  <c r="H65" i="3"/>
  <c r="A66" i="3"/>
  <c r="F65" i="3"/>
  <c r="G65" i="3" s="1"/>
  <c r="C65" i="3"/>
  <c r="D65" i="3" s="1"/>
  <c r="H350" i="3"/>
  <c r="F350" i="3"/>
  <c r="G350" i="3" s="1"/>
  <c r="A55" i="47" l="1"/>
  <c r="A55" i="46"/>
  <c r="A56" i="24"/>
  <c r="A67" i="3"/>
  <c r="F66" i="3"/>
  <c r="G66" i="3" s="1"/>
  <c r="C66" i="3"/>
  <c r="D66" i="3" s="1"/>
  <c r="H66" i="3"/>
  <c r="F351" i="3"/>
  <c r="G351" i="3" s="1"/>
  <c r="H351" i="3"/>
  <c r="A56" i="47" l="1"/>
  <c r="A57" i="24"/>
  <c r="A56" i="46"/>
  <c r="C67" i="3"/>
  <c r="D67" i="3" s="1"/>
  <c r="A68" i="3"/>
  <c r="H67" i="3"/>
  <c r="F67" i="3"/>
  <c r="G67" i="3" s="1"/>
  <c r="H352" i="3"/>
  <c r="F352" i="3"/>
  <c r="G352" i="3" s="1"/>
  <c r="A57" i="46" l="1"/>
  <c r="A57" i="47"/>
  <c r="A84" i="24"/>
  <c r="A69" i="3"/>
  <c r="F68" i="3"/>
  <c r="G68" i="3" s="1"/>
  <c r="H68" i="3"/>
  <c r="C68" i="3"/>
  <c r="D68" i="3" s="1"/>
  <c r="F353" i="3"/>
  <c r="G353" i="3" s="1"/>
  <c r="H353" i="3"/>
  <c r="A84" i="46" l="1"/>
  <c r="A85" i="24"/>
  <c r="A96" i="24"/>
  <c r="A84" i="47"/>
  <c r="F69" i="3"/>
  <c r="G69" i="3" s="1"/>
  <c r="C69" i="3"/>
  <c r="D69" i="3" s="1"/>
  <c r="H69" i="3"/>
  <c r="B69" i="3"/>
  <c r="A70" i="3" s="1"/>
  <c r="F354" i="3"/>
  <c r="G354" i="3" s="1"/>
  <c r="H354" i="3"/>
  <c r="A96" i="46" l="1"/>
  <c r="A96" i="47"/>
  <c r="A85" i="47"/>
  <c r="A86" i="24"/>
  <c r="A85" i="46"/>
  <c r="F70" i="3"/>
  <c r="G70" i="3" s="1"/>
  <c r="C70" i="3"/>
  <c r="D70" i="3" s="1"/>
  <c r="H70" i="3"/>
  <c r="A71" i="3"/>
  <c r="F355" i="3"/>
  <c r="G355" i="3" s="1"/>
  <c r="H355" i="3"/>
  <c r="A86" i="46" l="1"/>
  <c r="A87" i="24"/>
  <c r="A86" i="47"/>
  <c r="H71" i="3"/>
  <c r="A72" i="3"/>
  <c r="C71" i="3"/>
  <c r="D71" i="3" s="1"/>
  <c r="F71" i="3"/>
  <c r="G71" i="3" s="1"/>
  <c r="F356" i="3"/>
  <c r="G356" i="3" s="1"/>
  <c r="H356" i="3"/>
  <c r="A87" i="47" l="1"/>
  <c r="A87" i="46"/>
  <c r="A88" i="24"/>
  <c r="F72" i="3"/>
  <c r="G72" i="3" s="1"/>
  <c r="C72" i="3"/>
  <c r="D72" i="3" s="1"/>
  <c r="H72" i="3"/>
  <c r="A73" i="3"/>
  <c r="F359" i="3"/>
  <c r="G359" i="3" s="1"/>
  <c r="F357" i="3"/>
  <c r="F358" i="3" s="1"/>
  <c r="H359" i="3" s="1"/>
  <c r="A88" i="47" l="1"/>
  <c r="A88" i="46"/>
  <c r="A89" i="24"/>
  <c r="F73" i="3"/>
  <c r="G73" i="3" s="1"/>
  <c r="C73" i="3"/>
  <c r="D73" i="3" s="1"/>
  <c r="H73" i="3"/>
  <c r="A74" i="3"/>
  <c r="H360" i="3"/>
  <c r="F360" i="3"/>
  <c r="G360" i="3" s="1"/>
  <c r="A89" i="47" l="1"/>
  <c r="A90" i="24"/>
  <c r="A89" i="46"/>
  <c r="C74" i="3"/>
  <c r="D74" i="3" s="1"/>
  <c r="H74" i="3"/>
  <c r="F74" i="3"/>
  <c r="G74" i="3" s="1"/>
  <c r="A75" i="3"/>
  <c r="F361" i="3"/>
  <c r="G361" i="3" s="1"/>
  <c r="H361" i="3"/>
  <c r="F362" i="3"/>
  <c r="G362" i="3" l="1"/>
  <c r="A91" i="24"/>
  <c r="A90" i="46"/>
  <c r="A90" i="47"/>
  <c r="H362" i="3"/>
  <c r="A76" i="3"/>
  <c r="F75" i="3"/>
  <c r="G75" i="3" s="1"/>
  <c r="C75" i="3"/>
  <c r="D75" i="3" s="1"/>
  <c r="H75" i="3"/>
  <c r="H363" i="3"/>
  <c r="F363" i="3"/>
  <c r="G363" i="3" l="1"/>
  <c r="A91" i="46"/>
  <c r="A92" i="24"/>
  <c r="A91" i="47"/>
  <c r="F76" i="3"/>
  <c r="G76" i="3" s="1"/>
  <c r="C76" i="3"/>
  <c r="D76" i="3" s="1"/>
  <c r="H76" i="3"/>
  <c r="A77" i="3"/>
  <c r="H364" i="3"/>
  <c r="F364" i="3"/>
  <c r="G364" i="3" l="1"/>
  <c r="G365" i="3" s="1"/>
  <c r="G366" i="3" s="1"/>
  <c r="G367" i="3" s="1"/>
  <c r="G368" i="3" s="1"/>
  <c r="G369" i="3" s="1"/>
  <c r="G370" i="3" s="1"/>
  <c r="G371" i="3" s="1"/>
  <c r="G372" i="3" s="1"/>
  <c r="G373" i="3" s="1"/>
  <c r="G374" i="3" s="1"/>
  <c r="G375" i="3" s="1"/>
  <c r="G376" i="3" s="1"/>
  <c r="G377" i="3" s="1"/>
  <c r="G378" i="3" s="1"/>
  <c r="G379" i="3" s="1"/>
  <c r="G380" i="3" s="1"/>
  <c r="G381" i="3" s="1"/>
  <c r="G382" i="3" s="1"/>
  <c r="G383" i="3" s="1"/>
  <c r="G384" i="3" s="1"/>
  <c r="G385" i="3" s="1"/>
  <c r="G386" i="3" s="1"/>
  <c r="G387" i="3" s="1"/>
  <c r="G388" i="3" s="1"/>
  <c r="G389" i="3" s="1"/>
  <c r="G390" i="3" s="1"/>
  <c r="G391" i="3" s="1"/>
  <c r="G392" i="3" s="1"/>
  <c r="G393" i="3" s="1"/>
  <c r="G394" i="3" s="1"/>
  <c r="G395" i="3" s="1"/>
  <c r="G396" i="3" s="1"/>
  <c r="G397" i="3" s="1"/>
  <c r="G398" i="3" s="1"/>
  <c r="G399" i="3" s="1"/>
  <c r="G400" i="3" s="1"/>
  <c r="G401" i="3" s="1"/>
  <c r="G402" i="3" s="1"/>
  <c r="G403" i="3" s="1"/>
  <c r="G404" i="3" s="1"/>
  <c r="G405" i="3" s="1"/>
  <c r="G406" i="3" s="1"/>
  <c r="G407" i="3" s="1"/>
  <c r="G408" i="3" s="1"/>
  <c r="G409" i="3" s="1"/>
  <c r="G410" i="3" s="1"/>
  <c r="G411" i="3" s="1"/>
  <c r="G412" i="3" s="1"/>
  <c r="G413" i="3" s="1"/>
  <c r="G414" i="3" s="1"/>
  <c r="G415" i="3" s="1"/>
  <c r="G416" i="3" s="1"/>
  <c r="G417" i="3" s="1"/>
  <c r="G418" i="3" s="1"/>
  <c r="G419" i="3" s="1"/>
  <c r="G420" i="3" s="1"/>
  <c r="G421" i="3" s="1"/>
  <c r="G422" i="3" s="1"/>
  <c r="G423" i="3" s="1"/>
  <c r="G424" i="3" s="1"/>
  <c r="G425" i="3" s="1"/>
  <c r="G426" i="3" s="1"/>
  <c r="G427" i="3" s="1"/>
  <c r="G428" i="3" s="1"/>
  <c r="G429" i="3" s="1"/>
  <c r="G430" i="3" s="1"/>
  <c r="G431" i="3" s="1"/>
  <c r="G432" i="3" s="1"/>
  <c r="G433" i="3" s="1"/>
  <c r="G434" i="3" s="1"/>
  <c r="G435" i="3" s="1"/>
  <c r="G436" i="3" s="1"/>
  <c r="G437" i="3" s="1"/>
  <c r="G438" i="3" s="1"/>
  <c r="G439" i="3" s="1"/>
  <c r="G440" i="3" s="1"/>
  <c r="G441" i="3" s="1"/>
  <c r="G442" i="3" s="1"/>
  <c r="G443" i="3" s="1"/>
  <c r="G444" i="3" s="1"/>
  <c r="G445" i="3" s="1"/>
  <c r="G446" i="3" s="1"/>
  <c r="G447" i="3" s="1"/>
  <c r="G448" i="3" s="1"/>
  <c r="G449" i="3" s="1"/>
  <c r="G450" i="3" s="1"/>
  <c r="G451" i="3" s="1"/>
  <c r="G452" i="3" s="1"/>
  <c r="G453" i="3" s="1"/>
  <c r="G454" i="3" s="1"/>
  <c r="G455" i="3" s="1"/>
  <c r="G456" i="3" s="1"/>
  <c r="G457" i="3" s="1"/>
  <c r="G458" i="3" s="1"/>
  <c r="G459" i="3" s="1"/>
  <c r="G460" i="3" s="1"/>
  <c r="G461" i="3" s="1"/>
  <c r="G462" i="3" s="1"/>
  <c r="G463" i="3" s="1"/>
  <c r="G464" i="3" s="1"/>
  <c r="G465" i="3" s="1"/>
  <c r="G466" i="3" s="1"/>
  <c r="G467" i="3" s="1"/>
  <c r="G468" i="3" s="1"/>
  <c r="G469" i="3" s="1"/>
  <c r="G470" i="3" s="1"/>
  <c r="G471" i="3" s="1"/>
  <c r="G472" i="3" s="1"/>
  <c r="G473" i="3" s="1"/>
  <c r="G474" i="3" s="1"/>
  <c r="G475" i="3" s="1"/>
  <c r="G476" i="3" s="1"/>
  <c r="G477" i="3" s="1"/>
  <c r="G478" i="3" s="1"/>
  <c r="G479" i="3" s="1"/>
  <c r="G480" i="3" s="1"/>
  <c r="G481" i="3" s="1"/>
  <c r="G482" i="3" s="1"/>
  <c r="G483" i="3" s="1"/>
  <c r="G484" i="3" s="1"/>
  <c r="G485" i="3" s="1"/>
  <c r="G486" i="3" s="1"/>
  <c r="G487" i="3" s="1"/>
  <c r="G488" i="3" s="1"/>
  <c r="G489" i="3" s="1"/>
  <c r="G490" i="3" s="1"/>
  <c r="G491" i="3" s="1"/>
  <c r="G492" i="3" s="1"/>
  <c r="G493" i="3" s="1"/>
  <c r="G494" i="3" s="1"/>
  <c r="G495" i="3" s="1"/>
  <c r="G496" i="3" s="1"/>
  <c r="G497" i="3" s="1"/>
  <c r="G498" i="3" s="1"/>
  <c r="G499" i="3" s="1"/>
  <c r="G500" i="3" s="1"/>
  <c r="G501" i="3" s="1"/>
  <c r="G502" i="3" s="1"/>
  <c r="G503" i="3" s="1"/>
  <c r="G504" i="3" s="1"/>
  <c r="G505" i="3" s="1"/>
  <c r="A92" i="46"/>
  <c r="A93" i="24"/>
  <c r="A92" i="47"/>
  <c r="C77" i="3"/>
  <c r="D77" i="3" s="1"/>
  <c r="H77" i="3"/>
  <c r="F77" i="3"/>
  <c r="G77" i="3" s="1"/>
  <c r="A78" i="3"/>
  <c r="H365" i="3"/>
  <c r="F365" i="3"/>
  <c r="A93" i="47" l="1"/>
  <c r="A94" i="24"/>
  <c r="A93" i="46"/>
  <c r="F78" i="3"/>
  <c r="G78" i="3" s="1"/>
  <c r="C78" i="3"/>
  <c r="D78" i="3" s="1"/>
  <c r="H78" i="3"/>
  <c r="A79" i="3"/>
  <c r="F366" i="3"/>
  <c r="H366" i="3"/>
  <c r="A94" i="46" l="1"/>
  <c r="A94" i="47"/>
  <c r="A95" i="24"/>
  <c r="A80" i="3"/>
  <c r="F79" i="3"/>
  <c r="G79" i="3" s="1"/>
  <c r="H79" i="3"/>
  <c r="C79" i="3"/>
  <c r="D79" i="3" s="1"/>
  <c r="F367" i="3"/>
  <c r="H367" i="3"/>
  <c r="A95" i="46" l="1"/>
  <c r="A97" i="24"/>
  <c r="A95" i="47"/>
  <c r="F80" i="3"/>
  <c r="G80" i="3" s="1"/>
  <c r="C80" i="3"/>
  <c r="D80" i="3" s="1"/>
  <c r="A81" i="3"/>
  <c r="H80" i="3"/>
  <c r="H368" i="3"/>
  <c r="F368" i="3"/>
  <c r="A97" i="47" l="1"/>
  <c r="A98" i="24"/>
  <c r="A97" i="46"/>
  <c r="A109" i="24"/>
  <c r="H81" i="3"/>
  <c r="F81" i="3"/>
  <c r="G81" i="3" s="1"/>
  <c r="C81" i="3"/>
  <c r="D81" i="3" s="1"/>
  <c r="B81" i="3"/>
  <c r="A82" i="3" s="1"/>
  <c r="F369" i="3"/>
  <c r="H369" i="3"/>
  <c r="A98" i="47" l="1"/>
  <c r="A99" i="24"/>
  <c r="A98" i="46"/>
  <c r="A109" i="46"/>
  <c r="A109" i="47"/>
  <c r="F82" i="3"/>
  <c r="G82" i="3" s="1"/>
  <c r="C82" i="3"/>
  <c r="D82" i="3" s="1"/>
  <c r="H82" i="3"/>
  <c r="A83" i="3"/>
  <c r="F370" i="3"/>
  <c r="H370" i="3"/>
  <c r="A99" i="47" l="1"/>
  <c r="A99" i="46"/>
  <c r="A100" i="24"/>
  <c r="A84" i="3"/>
  <c r="F83" i="3"/>
  <c r="G83" i="3" s="1"/>
  <c r="H83" i="3"/>
  <c r="C83" i="3"/>
  <c r="D83" i="3" s="1"/>
  <c r="F371" i="3"/>
  <c r="H371" i="3"/>
  <c r="A100" i="46" l="1"/>
  <c r="A101" i="24"/>
  <c r="A100" i="47"/>
  <c r="C84" i="3"/>
  <c r="D84" i="3" s="1"/>
  <c r="A85" i="3"/>
  <c r="H84" i="3"/>
  <c r="F84" i="3"/>
  <c r="G84" i="3" s="1"/>
  <c r="H372" i="3"/>
  <c r="F372" i="3"/>
  <c r="A102" i="24" l="1"/>
  <c r="A101" i="47"/>
  <c r="A101" i="46"/>
  <c r="A86" i="3"/>
  <c r="H85" i="3"/>
  <c r="F85" i="3"/>
  <c r="G85" i="3" s="1"/>
  <c r="C85" i="3"/>
  <c r="D85" i="3" s="1"/>
  <c r="F373" i="3"/>
  <c r="H373" i="3"/>
  <c r="A103" i="24" l="1"/>
  <c r="A102" i="46"/>
  <c r="A102" i="47"/>
  <c r="C86" i="3"/>
  <c r="D86" i="3" s="1"/>
  <c r="A87" i="3"/>
  <c r="F86" i="3"/>
  <c r="G86" i="3" s="1"/>
  <c r="H86" i="3"/>
  <c r="H374" i="3"/>
  <c r="F374" i="3"/>
  <c r="A103" i="47" l="1"/>
  <c r="A104" i="24"/>
  <c r="A103" i="46"/>
  <c r="A88" i="3"/>
  <c r="C87" i="3"/>
  <c r="D87" i="3" s="1"/>
  <c r="F87" i="3"/>
  <c r="G87" i="3" s="1"/>
  <c r="H87" i="3"/>
  <c r="F375" i="3"/>
  <c r="H375" i="3"/>
  <c r="A104" i="46" l="1"/>
  <c r="A105" i="24"/>
  <c r="A104" i="47"/>
  <c r="A89" i="3"/>
  <c r="F88" i="3"/>
  <c r="G88" i="3" s="1"/>
  <c r="C88" i="3"/>
  <c r="D88" i="3" s="1"/>
  <c r="H88" i="3"/>
  <c r="H376" i="3"/>
  <c r="F376" i="3"/>
  <c r="A105" i="46" l="1"/>
  <c r="A106" i="24"/>
  <c r="A105" i="47"/>
  <c r="H89" i="3"/>
  <c r="A90" i="3"/>
  <c r="F89" i="3"/>
  <c r="G89" i="3" s="1"/>
  <c r="C89" i="3"/>
  <c r="D89" i="3" s="1"/>
  <c r="H377" i="3"/>
  <c r="F377" i="3"/>
  <c r="A107" i="24" l="1"/>
  <c r="A106" i="46"/>
  <c r="A106" i="47"/>
  <c r="H90" i="3"/>
  <c r="F90" i="3"/>
  <c r="G90" i="3" s="1"/>
  <c r="A91" i="3"/>
  <c r="C90" i="3"/>
  <c r="D90" i="3" s="1"/>
  <c r="F378" i="3"/>
  <c r="H378" i="3"/>
  <c r="A108" i="24" l="1"/>
  <c r="A107" i="47"/>
  <c r="A107" i="46"/>
  <c r="C91" i="3"/>
  <c r="D91" i="3" s="1"/>
  <c r="H91" i="3"/>
  <c r="A92" i="3"/>
  <c r="F91" i="3"/>
  <c r="G91" i="3" s="1"/>
  <c r="H379" i="3"/>
  <c r="F379" i="3"/>
  <c r="A110" i="24" l="1"/>
  <c r="A108" i="47"/>
  <c r="A108" i="46"/>
  <c r="A93" i="3"/>
  <c r="F92" i="3"/>
  <c r="G92" i="3" s="1"/>
  <c r="H92" i="3"/>
  <c r="C92" i="3"/>
  <c r="D92" i="3" s="1"/>
  <c r="F380" i="3"/>
  <c r="H380" i="3"/>
  <c r="A110" i="46" l="1"/>
  <c r="A122" i="24"/>
  <c r="A111" i="24"/>
  <c r="A110" i="47"/>
  <c r="H93" i="3"/>
  <c r="B93" i="3"/>
  <c r="A94" i="3" s="1"/>
  <c r="F93" i="3"/>
  <c r="G93" i="3" s="1"/>
  <c r="C93" i="3"/>
  <c r="D93" i="3" s="1"/>
  <c r="H381" i="3"/>
  <c r="F381" i="3"/>
  <c r="A112" i="24" l="1"/>
  <c r="A111" i="47"/>
  <c r="A111" i="46"/>
  <c r="A122" i="47"/>
  <c r="A122" i="46"/>
  <c r="F94" i="3"/>
  <c r="G94" i="3" s="1"/>
  <c r="C94" i="3"/>
  <c r="D94" i="3" s="1"/>
  <c r="A95" i="3"/>
  <c r="H94" i="3"/>
  <c r="H382" i="3"/>
  <c r="F382" i="3"/>
  <c r="A113" i="24" l="1"/>
  <c r="A112" i="47"/>
  <c r="A112" i="46"/>
  <c r="H95" i="3"/>
  <c r="A96" i="3"/>
  <c r="F95" i="3"/>
  <c r="G95" i="3" s="1"/>
  <c r="C95" i="3"/>
  <c r="D95" i="3" s="1"/>
  <c r="H383" i="3"/>
  <c r="F383" i="3"/>
  <c r="A113" i="47" l="1"/>
  <c r="A113" i="46"/>
  <c r="A114" i="24"/>
  <c r="F96" i="3"/>
  <c r="G96" i="3" s="1"/>
  <c r="H96" i="3"/>
  <c r="A97" i="3"/>
  <c r="C96" i="3"/>
  <c r="D96" i="3" s="1"/>
  <c r="H384" i="3"/>
  <c r="F384" i="3"/>
  <c r="A115" i="24" l="1"/>
  <c r="A114" i="46"/>
  <c r="A114" i="47"/>
  <c r="C97" i="3"/>
  <c r="D97" i="3" s="1"/>
  <c r="H97" i="3"/>
  <c r="F97" i="3"/>
  <c r="G97" i="3" s="1"/>
  <c r="A98" i="3"/>
  <c r="H385" i="3"/>
  <c r="F385" i="3"/>
  <c r="A115" i="47" l="1"/>
  <c r="A116" i="24"/>
  <c r="A115" i="46"/>
  <c r="A99" i="3"/>
  <c r="C98" i="3"/>
  <c r="D98" i="3" s="1"/>
  <c r="F98" i="3"/>
  <c r="G98" i="3" s="1"/>
  <c r="H98" i="3"/>
  <c r="F386" i="3"/>
  <c r="H386" i="3"/>
  <c r="A117" i="24" l="1"/>
  <c r="A116" i="46"/>
  <c r="A116" i="47"/>
  <c r="F99" i="3"/>
  <c r="G99" i="3" s="1"/>
  <c r="A100" i="3"/>
  <c r="C99" i="3"/>
  <c r="D99" i="3" s="1"/>
  <c r="H99" i="3"/>
  <c r="H387" i="3"/>
  <c r="F387" i="3"/>
  <c r="A117" i="46" l="1"/>
  <c r="A118" i="24"/>
  <c r="A117" i="47"/>
  <c r="A101" i="3"/>
  <c r="H100" i="3"/>
  <c r="F100" i="3"/>
  <c r="G100" i="3" s="1"/>
  <c r="C100" i="3"/>
  <c r="D100" i="3" s="1"/>
  <c r="H388" i="3"/>
  <c r="F388" i="3"/>
  <c r="A118" i="46" l="1"/>
  <c r="A119" i="24"/>
  <c r="A118" i="47"/>
  <c r="A102" i="3"/>
  <c r="F101" i="3"/>
  <c r="G101" i="3" s="1"/>
  <c r="H101" i="3"/>
  <c r="C101" i="3"/>
  <c r="D101" i="3" s="1"/>
  <c r="H389" i="3"/>
  <c r="F389" i="3"/>
  <c r="A119" i="47" l="1"/>
  <c r="A120" i="24"/>
  <c r="A119" i="46"/>
  <c r="F102" i="3"/>
  <c r="G102" i="3" s="1"/>
  <c r="C102" i="3"/>
  <c r="D102" i="3" s="1"/>
  <c r="H102" i="3"/>
  <c r="A103" i="3"/>
  <c r="H390" i="3"/>
  <c r="F390" i="3"/>
  <c r="A120" i="47" l="1"/>
  <c r="A121" i="24"/>
  <c r="A120" i="46"/>
  <c r="C103" i="3"/>
  <c r="D103" i="3" s="1"/>
  <c r="H103" i="3"/>
  <c r="A104" i="3"/>
  <c r="F103" i="3"/>
  <c r="G103" i="3" s="1"/>
  <c r="F391" i="3"/>
  <c r="H391" i="3"/>
  <c r="A121" i="46" l="1"/>
  <c r="A121" i="47"/>
  <c r="F104" i="3"/>
  <c r="G104" i="3" s="1"/>
  <c r="C104" i="3"/>
  <c r="D104" i="3" s="1"/>
  <c r="H104" i="3"/>
  <c r="A105" i="3"/>
  <c r="F392" i="3"/>
  <c r="H392" i="3"/>
  <c r="F105" i="3" l="1"/>
  <c r="G105" i="3" s="1"/>
  <c r="C105" i="3"/>
  <c r="D105" i="3" s="1"/>
  <c r="H105" i="3"/>
  <c r="B105" i="3"/>
  <c r="A106" i="3" s="1"/>
  <c r="H393" i="3"/>
  <c r="F393" i="3"/>
  <c r="C106" i="3" l="1"/>
  <c r="D106" i="3" s="1"/>
  <c r="H106" i="3"/>
  <c r="A107" i="3"/>
  <c r="F106" i="3"/>
  <c r="G106" i="3" s="1"/>
  <c r="H394" i="3"/>
  <c r="F394" i="3"/>
  <c r="H107" i="3" l="1"/>
  <c r="A108" i="3"/>
  <c r="F107" i="3"/>
  <c r="G107" i="3" s="1"/>
  <c r="C107" i="3"/>
  <c r="D107" i="3" s="1"/>
  <c r="H395" i="3"/>
  <c r="F395" i="3"/>
  <c r="A109" i="3" l="1"/>
  <c r="C108" i="3"/>
  <c r="D108" i="3" s="1"/>
  <c r="H108" i="3"/>
  <c r="F108" i="3"/>
  <c r="G108" i="3" s="1"/>
  <c r="H396" i="3"/>
  <c r="F396" i="3"/>
  <c r="F109" i="3" l="1"/>
  <c r="G109" i="3" s="1"/>
  <c r="C109" i="3"/>
  <c r="D109" i="3" s="1"/>
  <c r="H109" i="3"/>
  <c r="A110" i="3"/>
  <c r="H397" i="3"/>
  <c r="F397" i="3"/>
  <c r="C110" i="3" l="1"/>
  <c r="D110" i="3" s="1"/>
  <c r="A111" i="3"/>
  <c r="F110" i="3"/>
  <c r="G110" i="3" s="1"/>
  <c r="H110" i="3"/>
  <c r="F398" i="3"/>
  <c r="H398" i="3"/>
  <c r="H111" i="3" l="1"/>
  <c r="A112" i="3"/>
  <c r="F111" i="3"/>
  <c r="G111" i="3" s="1"/>
  <c r="C111" i="3"/>
  <c r="D111" i="3" s="1"/>
  <c r="H399" i="3"/>
  <c r="F399" i="3"/>
  <c r="A113" i="3" l="1"/>
  <c r="F112" i="3"/>
  <c r="G112" i="3" s="1"/>
  <c r="C112" i="3"/>
  <c r="D112" i="3" s="1"/>
  <c r="H112" i="3"/>
  <c r="H400" i="3"/>
  <c r="F400" i="3"/>
  <c r="H113" i="3" l="1"/>
  <c r="A114" i="3"/>
  <c r="F113" i="3"/>
  <c r="G113" i="3" s="1"/>
  <c r="C113" i="3"/>
  <c r="D113" i="3" s="1"/>
  <c r="H401" i="3"/>
  <c r="F401" i="3"/>
  <c r="C114" i="3" l="1"/>
  <c r="D114" i="3" s="1"/>
  <c r="H114" i="3"/>
  <c r="A115" i="3"/>
  <c r="F114" i="3"/>
  <c r="G114" i="3" s="1"/>
  <c r="H402" i="3"/>
  <c r="F402" i="3"/>
  <c r="F115" i="3" l="1"/>
  <c r="G115" i="3" s="1"/>
  <c r="H115" i="3"/>
  <c r="C115" i="3"/>
  <c r="D115" i="3" s="1"/>
  <c r="A116" i="3"/>
  <c r="H403" i="3"/>
  <c r="F403" i="3"/>
  <c r="A117" i="3" l="1"/>
  <c r="H116" i="3"/>
  <c r="F116" i="3"/>
  <c r="G116" i="3" s="1"/>
  <c r="C116" i="3"/>
  <c r="D116" i="3" s="1"/>
  <c r="H404" i="3"/>
  <c r="F404" i="3"/>
  <c r="B117" i="3" l="1"/>
  <c r="A118" i="3" s="1"/>
  <c r="F117" i="3"/>
  <c r="G117" i="3" s="1"/>
  <c r="C117" i="3"/>
  <c r="D117" i="3" s="1"/>
  <c r="H117" i="3"/>
  <c r="H405" i="3"/>
  <c r="F405" i="3"/>
  <c r="F118" i="3" l="1"/>
  <c r="G118" i="3" s="1"/>
  <c r="H118" i="3"/>
  <c r="C118" i="3"/>
  <c r="D118" i="3" s="1"/>
  <c r="A119" i="3"/>
  <c r="H406" i="3"/>
  <c r="F406" i="3"/>
  <c r="C119" i="3" l="1"/>
  <c r="D119" i="3" s="1"/>
  <c r="A120" i="3"/>
  <c r="H119" i="3"/>
  <c r="F119" i="3"/>
  <c r="G119" i="3" s="1"/>
  <c r="H407" i="3"/>
  <c r="F407" i="3"/>
  <c r="H120" i="3" l="1"/>
  <c r="A121" i="3"/>
  <c r="F120" i="3"/>
  <c r="G120" i="3" s="1"/>
  <c r="C120" i="3"/>
  <c r="D120" i="3" s="1"/>
  <c r="H408" i="3"/>
  <c r="F408" i="3"/>
  <c r="A122" i="3" l="1"/>
  <c r="F121" i="3"/>
  <c r="G121" i="3" s="1"/>
  <c r="C121" i="3"/>
  <c r="D121" i="3" s="1"/>
  <c r="H121" i="3"/>
  <c r="H409" i="3"/>
  <c r="F409" i="3"/>
  <c r="F122" i="3" l="1"/>
  <c r="G122" i="3" s="1"/>
  <c r="H122" i="3"/>
  <c r="C122" i="3"/>
  <c r="D122" i="3" s="1"/>
  <c r="A123" i="3"/>
  <c r="H410" i="3"/>
  <c r="F410" i="3"/>
  <c r="C123" i="3" l="1"/>
  <c r="D123" i="3" s="1"/>
  <c r="H123" i="3"/>
  <c r="A124" i="3"/>
  <c r="F123" i="3"/>
  <c r="G123" i="3" s="1"/>
  <c r="H411" i="3"/>
  <c r="F411" i="3"/>
  <c r="H124" i="3" l="1"/>
  <c r="A125" i="3"/>
  <c r="C124" i="3"/>
  <c r="D124" i="3" s="1"/>
  <c r="F124" i="3"/>
  <c r="G124" i="3" s="1"/>
  <c r="H412" i="3"/>
  <c r="F412" i="3"/>
  <c r="A126" i="3" l="1"/>
  <c r="F125" i="3"/>
  <c r="G125" i="3" s="1"/>
  <c r="C125" i="3"/>
  <c r="D125" i="3" s="1"/>
  <c r="H125" i="3"/>
  <c r="H413" i="3"/>
  <c r="F413" i="3"/>
  <c r="C126" i="3" l="1"/>
  <c r="D126" i="3" s="1"/>
  <c r="H126" i="3"/>
  <c r="A127" i="3"/>
  <c r="F126" i="3"/>
  <c r="G126" i="3" s="1"/>
  <c r="H414" i="3"/>
  <c r="F414" i="3"/>
  <c r="C127" i="3" l="1"/>
  <c r="D127" i="3" s="1"/>
  <c r="F127" i="3"/>
  <c r="G127" i="3" s="1"/>
  <c r="H127" i="3"/>
  <c r="A128" i="3"/>
  <c r="H415" i="3"/>
  <c r="F415" i="3"/>
  <c r="H128" i="3" l="1"/>
  <c r="A129" i="3"/>
  <c r="F128" i="3"/>
  <c r="G128" i="3" s="1"/>
  <c r="C128" i="3"/>
  <c r="D128" i="3" s="1"/>
  <c r="H416" i="3"/>
  <c r="F416" i="3"/>
  <c r="B129" i="3" l="1"/>
  <c r="A130" i="3" s="1"/>
  <c r="H129" i="3"/>
  <c r="F129" i="3"/>
  <c r="G129" i="3" s="1"/>
  <c r="C129" i="3"/>
  <c r="D129" i="3" s="1"/>
  <c r="H417" i="3"/>
  <c r="F417" i="3"/>
  <c r="F130" i="3" l="1"/>
  <c r="G130" i="3" s="1"/>
  <c r="C130" i="3"/>
  <c r="D130" i="3" s="1"/>
  <c r="H130" i="3"/>
  <c r="A131" i="3"/>
  <c r="H418" i="3"/>
  <c r="F418" i="3"/>
  <c r="F131" i="3" l="1"/>
  <c r="G131" i="3" s="1"/>
  <c r="C131" i="3"/>
  <c r="D131" i="3" s="1"/>
  <c r="H131" i="3"/>
  <c r="A132" i="3"/>
  <c r="H419" i="3"/>
  <c r="F419" i="3"/>
  <c r="C132" i="3" l="1"/>
  <c r="D132" i="3" s="1"/>
  <c r="H132" i="3"/>
  <c r="A133" i="3"/>
  <c r="F132" i="3"/>
  <c r="G132" i="3" s="1"/>
  <c r="H420" i="3"/>
  <c r="F420" i="3"/>
  <c r="A134" i="3" l="1"/>
  <c r="F133" i="3"/>
  <c r="G133" i="3" s="1"/>
  <c r="H133" i="3"/>
  <c r="C133" i="3"/>
  <c r="D133" i="3" s="1"/>
  <c r="H421" i="3"/>
  <c r="F421" i="3"/>
  <c r="F134" i="3" l="1"/>
  <c r="G134" i="3" s="1"/>
  <c r="A135" i="3"/>
  <c r="C134" i="3"/>
  <c r="D134" i="3" s="1"/>
  <c r="H134" i="3"/>
  <c r="H422" i="3"/>
  <c r="F422" i="3"/>
  <c r="F135" i="3" l="1"/>
  <c r="G135" i="3" s="1"/>
  <c r="H135" i="3"/>
  <c r="C135" i="3"/>
  <c r="D135" i="3" s="1"/>
  <c r="A136" i="3"/>
  <c r="H423" i="3"/>
  <c r="F423" i="3"/>
  <c r="C136" i="3" l="1"/>
  <c r="D136" i="3" s="1"/>
  <c r="H136" i="3"/>
  <c r="A137" i="3"/>
  <c r="F136" i="3"/>
  <c r="G136" i="3" s="1"/>
  <c r="H424" i="3"/>
  <c r="F424" i="3"/>
  <c r="H137" i="3" l="1"/>
  <c r="C137" i="3"/>
  <c r="D137" i="3" s="1"/>
  <c r="A138" i="3"/>
  <c r="F137" i="3"/>
  <c r="G137" i="3" s="1"/>
  <c r="H425" i="3"/>
  <c r="F425" i="3"/>
  <c r="A139" i="3" l="1"/>
  <c r="F138" i="3"/>
  <c r="G138" i="3" s="1"/>
  <c r="C138" i="3"/>
  <c r="D138" i="3" s="1"/>
  <c r="H138" i="3"/>
  <c r="H426" i="3"/>
  <c r="F426" i="3"/>
  <c r="F139" i="3" l="1"/>
  <c r="G139" i="3" s="1"/>
  <c r="A140" i="3"/>
  <c r="C139" i="3"/>
  <c r="D139" i="3" s="1"/>
  <c r="H139" i="3"/>
  <c r="H427" i="3"/>
  <c r="F427" i="3"/>
  <c r="C140" i="3" l="1"/>
  <c r="D140" i="3" s="1"/>
  <c r="H140" i="3"/>
  <c r="A141" i="3"/>
  <c r="F140" i="3"/>
  <c r="G140" i="3" s="1"/>
  <c r="H428" i="3"/>
  <c r="F428" i="3"/>
  <c r="C141" i="3" l="1"/>
  <c r="D141" i="3" s="1"/>
  <c r="H141" i="3"/>
  <c r="B141" i="3"/>
  <c r="A142" i="3" s="1"/>
  <c r="F141" i="3"/>
  <c r="G141" i="3" s="1"/>
  <c r="H429" i="3"/>
  <c r="F429" i="3"/>
  <c r="H142" i="3" l="1"/>
  <c r="A143" i="3"/>
  <c r="F142" i="3"/>
  <c r="G142" i="3" s="1"/>
  <c r="C142" i="3"/>
  <c r="D142" i="3" s="1"/>
  <c r="H430" i="3"/>
  <c r="F430" i="3"/>
  <c r="A144" i="3" l="1"/>
  <c r="C143" i="3"/>
  <c r="D143" i="3" s="1"/>
  <c r="F143" i="3"/>
  <c r="G143" i="3" s="1"/>
  <c r="H143" i="3"/>
  <c r="H431" i="3"/>
  <c r="F431" i="3"/>
  <c r="F144" i="3" l="1"/>
  <c r="G144" i="3" s="1"/>
  <c r="C144" i="3"/>
  <c r="D144" i="3" s="1"/>
  <c r="H144" i="3"/>
  <c r="A145" i="3"/>
  <c r="H432" i="3"/>
  <c r="F432" i="3"/>
  <c r="C145" i="3" l="1"/>
  <c r="D145" i="3" s="1"/>
  <c r="H145" i="3"/>
  <c r="A146" i="3"/>
  <c r="F145" i="3"/>
  <c r="G145" i="3" s="1"/>
  <c r="H433" i="3"/>
  <c r="F433" i="3"/>
  <c r="A147" i="3" l="1"/>
  <c r="F146" i="3"/>
  <c r="G146" i="3" s="1"/>
  <c r="C146" i="3"/>
  <c r="D146" i="3" s="1"/>
  <c r="H146" i="3"/>
  <c r="F434" i="3"/>
  <c r="H434" i="3"/>
  <c r="A148" i="3" l="1"/>
  <c r="F147" i="3"/>
  <c r="G147" i="3" s="1"/>
  <c r="C147" i="3"/>
  <c r="D147" i="3" s="1"/>
  <c r="H147" i="3"/>
  <c r="H435" i="3"/>
  <c r="F435" i="3"/>
  <c r="F148" i="3" l="1"/>
  <c r="G148" i="3" s="1"/>
  <c r="C148" i="3"/>
  <c r="D148" i="3" s="1"/>
  <c r="A149" i="3"/>
  <c r="H148" i="3"/>
  <c r="H436" i="3"/>
  <c r="F436" i="3"/>
  <c r="C149" i="3" l="1"/>
  <c r="D149" i="3" s="1"/>
  <c r="H149" i="3"/>
  <c r="A150" i="3"/>
  <c r="F149" i="3"/>
  <c r="G149" i="3" s="1"/>
  <c r="H437" i="3"/>
  <c r="F437" i="3"/>
  <c r="H150" i="3" l="1"/>
  <c r="A151" i="3"/>
  <c r="F150" i="3"/>
  <c r="G150" i="3" s="1"/>
  <c r="C150" i="3"/>
  <c r="D150" i="3" s="1"/>
  <c r="H438" i="3"/>
  <c r="F438" i="3"/>
  <c r="F151" i="3" l="1"/>
  <c r="G151" i="3" s="1"/>
  <c r="C151" i="3"/>
  <c r="D151" i="3" s="1"/>
  <c r="H151" i="3"/>
  <c r="A152" i="3"/>
  <c r="H439" i="3"/>
  <c r="F439" i="3"/>
  <c r="F152" i="3" l="1"/>
  <c r="G152" i="3" s="1"/>
  <c r="H152" i="3"/>
  <c r="C152" i="3"/>
  <c r="D152" i="3" s="1"/>
  <c r="A153" i="3"/>
  <c r="H440" i="3"/>
  <c r="F440" i="3"/>
  <c r="B153" i="3" l="1"/>
  <c r="A154" i="3" s="1"/>
  <c r="F153" i="3"/>
  <c r="G153" i="3" s="1"/>
  <c r="C153" i="3"/>
  <c r="D153" i="3" s="1"/>
  <c r="H153" i="3"/>
  <c r="H441" i="3"/>
  <c r="F441" i="3"/>
  <c r="C154" i="3" l="1"/>
  <c r="D154" i="3" s="1"/>
  <c r="A155" i="3"/>
  <c r="F154" i="3"/>
  <c r="G154" i="3" s="1"/>
  <c r="H154" i="3"/>
  <c r="H442" i="3"/>
  <c r="F442" i="3"/>
  <c r="H155" i="3" l="1"/>
  <c r="A156" i="3"/>
  <c r="F155" i="3"/>
  <c r="G155" i="3" s="1"/>
  <c r="C155" i="3"/>
  <c r="D155" i="3" s="1"/>
  <c r="F443" i="3"/>
  <c r="H443" i="3"/>
  <c r="A157" i="3" l="1"/>
  <c r="F156" i="3"/>
  <c r="G156" i="3" s="1"/>
  <c r="C156" i="3"/>
  <c r="D156" i="3" s="1"/>
  <c r="H156" i="3"/>
  <c r="H444" i="3"/>
  <c r="F444" i="3"/>
  <c r="F157" i="3" l="1"/>
  <c r="G157" i="3" s="1"/>
  <c r="C157" i="3"/>
  <c r="D157" i="3" s="1"/>
  <c r="H157" i="3"/>
  <c r="A158" i="3"/>
  <c r="H445" i="3"/>
  <c r="F445" i="3"/>
  <c r="C158" i="3" l="1"/>
  <c r="D158" i="3" s="1"/>
  <c r="H158" i="3"/>
  <c r="A159" i="3"/>
  <c r="F158" i="3"/>
  <c r="G158" i="3" s="1"/>
  <c r="H446" i="3"/>
  <c r="F446" i="3"/>
  <c r="A160" i="3" l="1"/>
  <c r="F159" i="3"/>
  <c r="G159" i="3" s="1"/>
  <c r="H159" i="3"/>
  <c r="C159" i="3"/>
  <c r="D159" i="3" s="1"/>
  <c r="H447" i="3"/>
  <c r="F447" i="3"/>
  <c r="A161" i="3" l="1"/>
  <c r="F160" i="3"/>
  <c r="G160" i="3" s="1"/>
  <c r="C160" i="3"/>
  <c r="D160" i="3" s="1"/>
  <c r="H160" i="3"/>
  <c r="H448" i="3"/>
  <c r="F448" i="3"/>
  <c r="F161" i="3" l="1"/>
  <c r="G161" i="3" s="1"/>
  <c r="C161" i="3"/>
  <c r="D161" i="3" s="1"/>
  <c r="H161" i="3"/>
  <c r="A162" i="3"/>
  <c r="H449" i="3"/>
  <c r="F449" i="3"/>
  <c r="H162" i="3" l="1"/>
  <c r="C162" i="3"/>
  <c r="D162" i="3" s="1"/>
  <c r="A163" i="3"/>
  <c r="F162" i="3"/>
  <c r="G162" i="3" s="1"/>
  <c r="H450" i="3"/>
  <c r="F450" i="3"/>
  <c r="H163" i="3" l="1"/>
  <c r="A164" i="3"/>
  <c r="F163" i="3"/>
  <c r="G163" i="3" s="1"/>
  <c r="C163" i="3"/>
  <c r="D163" i="3" s="1"/>
  <c r="H451" i="3"/>
  <c r="F451" i="3"/>
  <c r="A165" i="3" l="1"/>
  <c r="F164" i="3"/>
  <c r="G164" i="3" s="1"/>
  <c r="C164" i="3"/>
  <c r="D164" i="3" s="1"/>
  <c r="H164" i="3"/>
  <c r="H452" i="3"/>
  <c r="F452" i="3"/>
  <c r="B165" i="3" l="1"/>
  <c r="A166" i="3" s="1"/>
  <c r="C165" i="3"/>
  <c r="D165" i="3" s="1"/>
  <c r="H165" i="3"/>
  <c r="F165" i="3"/>
  <c r="G165" i="3" s="1"/>
  <c r="F453" i="3"/>
  <c r="H453" i="3"/>
  <c r="F166" i="3" l="1"/>
  <c r="G166" i="3" s="1"/>
  <c r="C166" i="3"/>
  <c r="D166" i="3" s="1"/>
  <c r="A167" i="3"/>
  <c r="H166" i="3"/>
  <c r="H454" i="3"/>
  <c r="F454" i="3"/>
  <c r="C167" i="3" l="1"/>
  <c r="D167" i="3" s="1"/>
  <c r="H167" i="3"/>
  <c r="A168" i="3"/>
  <c r="F167" i="3"/>
  <c r="G167" i="3" s="1"/>
  <c r="H455" i="3"/>
  <c r="F455" i="3"/>
  <c r="H168" i="3" l="1"/>
  <c r="F168" i="3"/>
  <c r="G168" i="3" s="1"/>
  <c r="C168" i="3"/>
  <c r="D168" i="3" s="1"/>
  <c r="A169" i="3"/>
  <c r="H456" i="3"/>
  <c r="F456" i="3"/>
  <c r="A170" i="3" l="1"/>
  <c r="H169" i="3"/>
  <c r="F169" i="3"/>
  <c r="G169" i="3" s="1"/>
  <c r="C169" i="3"/>
  <c r="D169" i="3" s="1"/>
  <c r="H457" i="3"/>
  <c r="F457" i="3"/>
  <c r="F170" i="3" l="1"/>
  <c r="G170" i="3" s="1"/>
  <c r="H170" i="3"/>
  <c r="C170" i="3"/>
  <c r="D170" i="3" s="1"/>
  <c r="A171" i="3"/>
  <c r="H458" i="3"/>
  <c r="F458" i="3"/>
  <c r="C171" i="3" l="1"/>
  <c r="D171" i="3" s="1"/>
  <c r="H171" i="3"/>
  <c r="A172" i="3"/>
  <c r="F171" i="3"/>
  <c r="G171" i="3" s="1"/>
  <c r="F459" i="3"/>
  <c r="H459" i="3"/>
  <c r="H172" i="3" l="1"/>
  <c r="A173" i="3"/>
  <c r="F172" i="3"/>
  <c r="G172" i="3" s="1"/>
  <c r="C172" i="3"/>
  <c r="D172" i="3" s="1"/>
  <c r="F460" i="3"/>
  <c r="H460" i="3"/>
  <c r="A174" i="3" l="1"/>
  <c r="F173" i="3"/>
  <c r="G173" i="3" s="1"/>
  <c r="C173" i="3"/>
  <c r="D173" i="3" s="1"/>
  <c r="H173" i="3"/>
  <c r="F461" i="3"/>
  <c r="H461" i="3"/>
  <c r="H174" i="3" l="1"/>
  <c r="A175" i="3"/>
  <c r="F174" i="3"/>
  <c r="G174" i="3" s="1"/>
  <c r="C174" i="3"/>
  <c r="D174" i="3" s="1"/>
  <c r="H462" i="3"/>
  <c r="F462" i="3"/>
  <c r="F175" i="3" l="1"/>
  <c r="G175" i="3" s="1"/>
  <c r="C175" i="3"/>
  <c r="D175" i="3" s="1"/>
  <c r="H175" i="3"/>
  <c r="A176" i="3"/>
  <c r="H463" i="3"/>
  <c r="F463" i="3"/>
  <c r="H176" i="3" l="1"/>
  <c r="A177" i="3"/>
  <c r="F176" i="3"/>
  <c r="G176" i="3" s="1"/>
  <c r="C176" i="3"/>
  <c r="D176" i="3" s="1"/>
  <c r="H464" i="3"/>
  <c r="F464" i="3"/>
  <c r="H177" i="3" l="1"/>
  <c r="B177" i="3"/>
  <c r="A178" i="3" s="1"/>
  <c r="F177" i="3"/>
  <c r="G177" i="3" s="1"/>
  <c r="C177" i="3"/>
  <c r="D177" i="3" s="1"/>
  <c r="H465" i="3"/>
  <c r="F465" i="3"/>
  <c r="F178" i="3" l="1"/>
  <c r="G178" i="3" s="1"/>
  <c r="C178" i="3"/>
  <c r="D178" i="3" s="1"/>
  <c r="H178" i="3"/>
  <c r="A179" i="3"/>
  <c r="H466" i="3"/>
  <c r="F466" i="3"/>
  <c r="H179" i="3" l="1"/>
  <c r="A180" i="3"/>
  <c r="F179" i="3"/>
  <c r="G179" i="3" s="1"/>
  <c r="C179" i="3"/>
  <c r="D179" i="3" s="1"/>
  <c r="H467" i="3"/>
  <c r="F467" i="3"/>
  <c r="A181" i="3" l="1"/>
  <c r="F180" i="3"/>
  <c r="G180" i="3" s="1"/>
  <c r="C180" i="3"/>
  <c r="D180" i="3" s="1"/>
  <c r="H180" i="3"/>
  <c r="H468" i="3"/>
  <c r="F468" i="3"/>
  <c r="A182" i="3" l="1"/>
  <c r="F181" i="3"/>
  <c r="G181" i="3" s="1"/>
  <c r="C181" i="3"/>
  <c r="D181" i="3" s="1"/>
  <c r="H181" i="3"/>
  <c r="H469" i="3"/>
  <c r="F469" i="3"/>
  <c r="A183" i="3" l="1"/>
  <c r="F182" i="3"/>
  <c r="G182" i="3" s="1"/>
  <c r="C182" i="3"/>
  <c r="D182" i="3" s="1"/>
  <c r="H182" i="3"/>
  <c r="H470" i="3"/>
  <c r="F470" i="3"/>
  <c r="F183" i="3" l="1"/>
  <c r="G183" i="3" s="1"/>
  <c r="H183" i="3"/>
  <c r="A184" i="3"/>
  <c r="C183" i="3"/>
  <c r="D183" i="3" s="1"/>
  <c r="H471" i="3"/>
  <c r="F471" i="3"/>
  <c r="C184" i="3" l="1"/>
  <c r="D184" i="3" s="1"/>
  <c r="H184" i="3"/>
  <c r="A185" i="3"/>
  <c r="F184" i="3"/>
  <c r="G184" i="3" s="1"/>
  <c r="H472" i="3"/>
  <c r="F472" i="3"/>
  <c r="H185" i="3" l="1"/>
  <c r="A186" i="3"/>
  <c r="F185" i="3"/>
  <c r="G185" i="3" s="1"/>
  <c r="C185" i="3"/>
  <c r="D185" i="3" s="1"/>
  <c r="H473" i="3"/>
  <c r="F473" i="3"/>
  <c r="A187" i="3" l="1"/>
  <c r="F186" i="3"/>
  <c r="G186" i="3" s="1"/>
  <c r="C186" i="3"/>
  <c r="D186" i="3" s="1"/>
  <c r="H186" i="3"/>
  <c r="H474" i="3"/>
  <c r="F474" i="3"/>
  <c r="F187" i="3" l="1"/>
  <c r="G187" i="3" s="1"/>
  <c r="C187" i="3"/>
  <c r="D187" i="3" s="1"/>
  <c r="H187" i="3"/>
  <c r="A188" i="3"/>
  <c r="H475" i="3"/>
  <c r="F475" i="3"/>
  <c r="C188" i="3" l="1"/>
  <c r="D188" i="3" s="1"/>
  <c r="F188" i="3"/>
  <c r="G188" i="3" s="1"/>
  <c r="H188" i="3"/>
  <c r="A189" i="3"/>
  <c r="H476" i="3"/>
  <c r="F476" i="3"/>
  <c r="B189" i="3" l="1"/>
  <c r="A190" i="3" s="1"/>
  <c r="F189" i="3"/>
  <c r="G189" i="3" s="1"/>
  <c r="C189" i="3"/>
  <c r="D189" i="3" s="1"/>
  <c r="H189" i="3"/>
  <c r="H477" i="3"/>
  <c r="F477" i="3"/>
  <c r="H190" i="3" l="1"/>
  <c r="A191" i="3"/>
  <c r="F190" i="3"/>
  <c r="G190" i="3" s="1"/>
  <c r="C190" i="3"/>
  <c r="D190" i="3" s="1"/>
  <c r="H478" i="3"/>
  <c r="F478" i="3"/>
  <c r="A192" i="3" l="1"/>
  <c r="F191" i="3"/>
  <c r="G191" i="3" s="1"/>
  <c r="C191" i="3"/>
  <c r="D191" i="3" s="1"/>
  <c r="H191" i="3"/>
  <c r="H479" i="3"/>
  <c r="F479" i="3"/>
  <c r="F192" i="3" l="1"/>
  <c r="G192" i="3" s="1"/>
  <c r="C192" i="3"/>
  <c r="D192" i="3" s="1"/>
  <c r="H192" i="3"/>
  <c r="A193" i="3"/>
  <c r="F480" i="3"/>
  <c r="H480" i="3"/>
  <c r="C193" i="3" l="1"/>
  <c r="D193" i="3" s="1"/>
  <c r="H193" i="3"/>
  <c r="F193" i="3"/>
  <c r="G193" i="3" s="1"/>
  <c r="A194" i="3"/>
  <c r="F481" i="3"/>
  <c r="H481" i="3"/>
  <c r="H194" i="3" l="1"/>
  <c r="C194" i="3"/>
  <c r="D194" i="3" s="1"/>
  <c r="A195" i="3"/>
  <c r="F194" i="3"/>
  <c r="G194" i="3" s="1"/>
  <c r="H482" i="3"/>
  <c r="F482" i="3"/>
  <c r="A196" i="3" l="1"/>
  <c r="H195" i="3"/>
  <c r="F195" i="3"/>
  <c r="G195" i="3" s="1"/>
  <c r="C195" i="3"/>
  <c r="D195" i="3" s="1"/>
  <c r="H483" i="3"/>
  <c r="F483" i="3"/>
  <c r="F196" i="3" l="1"/>
  <c r="G196" i="3" s="1"/>
  <c r="C196" i="3"/>
  <c r="D196" i="3" s="1"/>
  <c r="H196" i="3"/>
  <c r="A197" i="3"/>
  <c r="H484" i="3"/>
  <c r="F484" i="3"/>
  <c r="A198" i="3" l="1"/>
  <c r="F197" i="3"/>
  <c r="G197" i="3" s="1"/>
  <c r="C197" i="3"/>
  <c r="D197" i="3" s="1"/>
  <c r="H197" i="3"/>
  <c r="H485" i="3"/>
  <c r="F485" i="3"/>
  <c r="A199" i="3" l="1"/>
  <c r="F198" i="3"/>
  <c r="G198" i="3" s="1"/>
  <c r="C198" i="3"/>
  <c r="D198" i="3" s="1"/>
  <c r="H198" i="3"/>
  <c r="H486" i="3"/>
  <c r="F486" i="3"/>
  <c r="H199" i="3" l="1"/>
  <c r="A200" i="3"/>
  <c r="F199" i="3"/>
  <c r="G199" i="3" s="1"/>
  <c r="C199" i="3"/>
  <c r="D199" i="3" s="1"/>
  <c r="H487" i="3"/>
  <c r="F487" i="3"/>
  <c r="C200" i="3" l="1"/>
  <c r="D200" i="3" s="1"/>
  <c r="A201" i="3"/>
  <c r="F200" i="3"/>
  <c r="G200" i="3" s="1"/>
  <c r="H200" i="3"/>
  <c r="H488" i="3"/>
  <c r="F488" i="3"/>
  <c r="F201" i="3" l="1"/>
  <c r="G201" i="3" s="1"/>
  <c r="H201" i="3"/>
  <c r="B201" i="3"/>
  <c r="A202" i="3" s="1"/>
  <c r="C201" i="3"/>
  <c r="D201" i="3" s="1"/>
  <c r="H489" i="3"/>
  <c r="F489" i="3"/>
  <c r="F202" i="3" l="1"/>
  <c r="G202" i="3" s="1"/>
  <c r="C202" i="3"/>
  <c r="D202" i="3" s="1"/>
  <c r="H202" i="3"/>
  <c r="A203" i="3"/>
  <c r="H490" i="3"/>
  <c r="F490" i="3"/>
  <c r="A204" i="3" l="1"/>
  <c r="F203" i="3"/>
  <c r="G203" i="3" s="1"/>
  <c r="H203" i="3"/>
  <c r="C203" i="3"/>
  <c r="D203" i="3" s="1"/>
  <c r="H491" i="3"/>
  <c r="F491" i="3"/>
  <c r="F204" i="3" l="1"/>
  <c r="G204" i="3" s="1"/>
  <c r="H204" i="3"/>
  <c r="A205" i="3"/>
  <c r="C204" i="3"/>
  <c r="D204" i="3" s="1"/>
  <c r="H492" i="3"/>
  <c r="F492" i="3"/>
  <c r="F205" i="3" l="1"/>
  <c r="G205" i="3" s="1"/>
  <c r="C205" i="3"/>
  <c r="D205" i="3" s="1"/>
  <c r="A206" i="3"/>
  <c r="H205" i="3"/>
  <c r="H493" i="3"/>
  <c r="F493" i="3"/>
  <c r="C206" i="3" l="1"/>
  <c r="D206" i="3" s="1"/>
  <c r="H206" i="3"/>
  <c r="A207" i="3"/>
  <c r="F206" i="3"/>
  <c r="G206" i="3" s="1"/>
  <c r="F494" i="3"/>
  <c r="H494" i="3"/>
  <c r="H207" i="3" l="1"/>
  <c r="A208" i="3"/>
  <c r="F207" i="3"/>
  <c r="G207" i="3" s="1"/>
  <c r="C207" i="3"/>
  <c r="D207" i="3" s="1"/>
  <c r="H495" i="3"/>
  <c r="F495" i="3"/>
  <c r="A209" i="3" l="1"/>
  <c r="F208" i="3"/>
  <c r="G208" i="3" s="1"/>
  <c r="C208" i="3"/>
  <c r="D208" i="3" s="1"/>
  <c r="H208" i="3"/>
  <c r="H496" i="3"/>
  <c r="F496" i="3"/>
  <c r="F209" i="3" l="1"/>
  <c r="G209" i="3" s="1"/>
  <c r="C209" i="3"/>
  <c r="D209" i="3" s="1"/>
  <c r="H209" i="3"/>
  <c r="A210" i="3"/>
  <c r="H497" i="3"/>
  <c r="F497" i="3"/>
  <c r="C210" i="3" l="1"/>
  <c r="D210" i="3" s="1"/>
  <c r="H210" i="3"/>
  <c r="A211" i="3"/>
  <c r="F210" i="3"/>
  <c r="G210" i="3" s="1"/>
  <c r="H498" i="3"/>
  <c r="F498" i="3"/>
  <c r="H211" i="3" l="1"/>
  <c r="A212" i="3"/>
  <c r="F211" i="3"/>
  <c r="G211" i="3" s="1"/>
  <c r="C211" i="3"/>
  <c r="D211" i="3" s="1"/>
  <c r="H499" i="3"/>
  <c r="F499" i="3"/>
  <c r="L14" i="25"/>
  <c r="D9" i="27" s="1"/>
  <c r="A213" i="3" l="1"/>
  <c r="F212" i="3"/>
  <c r="G212" i="3" s="1"/>
  <c r="C212" i="3"/>
  <c r="D212" i="3" s="1"/>
  <c r="H212" i="3"/>
  <c r="H500" i="3"/>
  <c r="F500" i="3"/>
  <c r="B213" i="3" l="1"/>
  <c r="A214" i="3" s="1"/>
  <c r="C213" i="3"/>
  <c r="D213" i="3" s="1"/>
  <c r="H213" i="3"/>
  <c r="F213" i="3"/>
  <c r="G213" i="3" s="1"/>
  <c r="F501" i="3"/>
  <c r="H501" i="3"/>
  <c r="F214" i="3" l="1"/>
  <c r="G214" i="3" s="1"/>
  <c r="C214" i="3"/>
  <c r="D214" i="3" s="1"/>
  <c r="H214" i="3"/>
  <c r="A215" i="3"/>
  <c r="H502" i="3"/>
  <c r="F502" i="3"/>
  <c r="E210" i="3" l="1"/>
  <c r="E212" i="3"/>
  <c r="C215" i="3"/>
  <c r="D215" i="3" s="1"/>
  <c r="E213" i="3" s="1"/>
  <c r="H215" i="3"/>
  <c r="A216" i="3"/>
  <c r="F215" i="3"/>
  <c r="G215" i="3" s="1"/>
  <c r="H503" i="3"/>
  <c r="F503" i="3"/>
  <c r="E214" i="3" l="1"/>
  <c r="E86" i="3"/>
  <c r="E88" i="3"/>
  <c r="E87" i="3"/>
  <c r="E90" i="3"/>
  <c r="E89" i="3"/>
  <c r="E91" i="3"/>
  <c r="E92" i="3"/>
  <c r="E94" i="3"/>
  <c r="E97" i="3"/>
  <c r="E93" i="3"/>
  <c r="E95" i="3"/>
  <c r="E96" i="3"/>
  <c r="E99" i="3"/>
  <c r="E102" i="3"/>
  <c r="E98" i="3"/>
  <c r="E101" i="3"/>
  <c r="E100" i="3"/>
  <c r="E103" i="3"/>
  <c r="E104" i="3"/>
  <c r="E105" i="3"/>
  <c r="E106" i="3"/>
  <c r="E107" i="3"/>
  <c r="E110" i="3"/>
  <c r="E109" i="3"/>
  <c r="E108" i="3"/>
  <c r="E111" i="3"/>
  <c r="E112" i="3"/>
  <c r="E113" i="3"/>
  <c r="E115" i="3"/>
  <c r="E114" i="3"/>
  <c r="E117" i="3"/>
  <c r="E116" i="3"/>
  <c r="E118" i="3"/>
  <c r="E119" i="3"/>
  <c r="E120" i="3"/>
  <c r="E122" i="3"/>
  <c r="E121" i="3"/>
  <c r="E123" i="3"/>
  <c r="E124" i="3"/>
  <c r="E125" i="3"/>
  <c r="E128" i="3"/>
  <c r="E126" i="3"/>
  <c r="E127" i="3"/>
  <c r="E129" i="3"/>
  <c r="E130" i="3"/>
  <c r="E132" i="3"/>
  <c r="E131" i="3"/>
  <c r="E134" i="3"/>
  <c r="E133" i="3"/>
  <c r="E135" i="3"/>
  <c r="E136" i="3"/>
  <c r="E137" i="3"/>
  <c r="E138" i="3"/>
  <c r="E140" i="3"/>
  <c r="E139" i="3"/>
  <c r="E143" i="3"/>
  <c r="E142" i="3"/>
  <c r="E145" i="3"/>
  <c r="E141" i="3"/>
  <c r="E144" i="3"/>
  <c r="E146" i="3"/>
  <c r="E149" i="3"/>
  <c r="E147" i="3"/>
  <c r="E151" i="3"/>
  <c r="E148" i="3"/>
  <c r="E150" i="3"/>
  <c r="E153" i="3"/>
  <c r="E152" i="3"/>
  <c r="E154" i="3"/>
  <c r="E156" i="3"/>
  <c r="E155" i="3"/>
  <c r="E158" i="3"/>
  <c r="E157" i="3"/>
  <c r="E159" i="3"/>
  <c r="E161" i="3"/>
  <c r="E162" i="3"/>
  <c r="E163" i="3"/>
  <c r="E160" i="3"/>
  <c r="E164" i="3"/>
  <c r="E165" i="3"/>
  <c r="E167" i="3"/>
  <c r="E169" i="3"/>
  <c r="E166" i="3"/>
  <c r="E168" i="3"/>
  <c r="E170" i="3"/>
  <c r="E171" i="3"/>
  <c r="E172" i="3"/>
  <c r="E175" i="3"/>
  <c r="E174" i="3"/>
  <c r="E173" i="3"/>
  <c r="E176" i="3"/>
  <c r="E178" i="3"/>
  <c r="E180" i="3"/>
  <c r="E177" i="3"/>
  <c r="E179" i="3"/>
  <c r="E181" i="3"/>
  <c r="E183" i="3"/>
  <c r="E182" i="3"/>
  <c r="E186" i="3"/>
  <c r="E184" i="3"/>
  <c r="E185" i="3"/>
  <c r="E187" i="3"/>
  <c r="E189" i="3"/>
  <c r="E188" i="3"/>
  <c r="E190" i="3"/>
  <c r="E191" i="3"/>
  <c r="E192" i="3"/>
  <c r="E193" i="3"/>
  <c r="E195" i="3"/>
  <c r="E194" i="3"/>
  <c r="E198" i="3"/>
  <c r="E196" i="3"/>
  <c r="E197" i="3"/>
  <c r="E199" i="3"/>
  <c r="E202" i="3"/>
  <c r="E200" i="3"/>
  <c r="E203" i="3"/>
  <c r="E201" i="3"/>
  <c r="E205" i="3"/>
  <c r="E204" i="3"/>
  <c r="E206" i="3"/>
  <c r="E208" i="3"/>
  <c r="E211" i="3"/>
  <c r="E207" i="3"/>
  <c r="E209" i="3"/>
  <c r="H216" i="3"/>
  <c r="A217" i="3"/>
  <c r="F216" i="3"/>
  <c r="G216" i="3" s="1"/>
  <c r="C216" i="3"/>
  <c r="D216" i="3" s="1"/>
  <c r="E216" i="3" s="1"/>
  <c r="E215" i="3"/>
  <c r="E21" i="3"/>
  <c r="E20" i="3"/>
  <c r="E22" i="3"/>
  <c r="E24" i="3"/>
  <c r="E25" i="3"/>
  <c r="E23" i="3"/>
  <c r="E27" i="3"/>
  <c r="E28" i="3"/>
  <c r="E29" i="3"/>
  <c r="E26" i="3"/>
  <c r="E30" i="3"/>
  <c r="E31" i="3"/>
  <c r="E32" i="3"/>
  <c r="E33" i="3"/>
  <c r="E35" i="3"/>
  <c r="E34" i="3"/>
  <c r="E38" i="3"/>
  <c r="E37" i="3"/>
  <c r="E40" i="3"/>
  <c r="E39" i="3"/>
  <c r="E36" i="3"/>
  <c r="E41" i="3"/>
  <c r="E43" i="3"/>
  <c r="E42" i="3"/>
  <c r="E44" i="3"/>
  <c r="E45" i="3"/>
  <c r="E46" i="3"/>
  <c r="E49" i="3"/>
  <c r="E47" i="3"/>
  <c r="E48" i="3"/>
  <c r="E50" i="3"/>
  <c r="E52" i="3"/>
  <c r="E51" i="3"/>
  <c r="E54" i="3"/>
  <c r="E53" i="3"/>
  <c r="E56" i="3"/>
  <c r="E55" i="3"/>
  <c r="E58" i="3"/>
  <c r="E60" i="3"/>
  <c r="E57" i="3"/>
  <c r="E62" i="3"/>
  <c r="E59" i="3"/>
  <c r="E61" i="3"/>
  <c r="E63" i="3"/>
  <c r="E64" i="3"/>
  <c r="E65" i="3"/>
  <c r="E66" i="3"/>
  <c r="E68" i="3"/>
  <c r="E67" i="3"/>
  <c r="E69" i="3"/>
  <c r="E71" i="3"/>
  <c r="E70" i="3"/>
  <c r="E73" i="3"/>
  <c r="E74" i="3"/>
  <c r="E72" i="3"/>
  <c r="E75" i="3"/>
  <c r="E77" i="3"/>
  <c r="E76" i="3"/>
  <c r="E78" i="3"/>
  <c r="E79" i="3"/>
  <c r="E81" i="3"/>
  <c r="E80" i="3"/>
  <c r="E82" i="3"/>
  <c r="E84" i="3"/>
  <c r="E83" i="3"/>
  <c r="E85" i="3"/>
  <c r="H504" i="3"/>
  <c r="F504" i="3"/>
  <c r="K44" i="3" l="1"/>
  <c r="M45" i="3"/>
  <c r="K45" i="3"/>
  <c r="M44" i="3"/>
  <c r="N45" i="3"/>
  <c r="N44" i="3"/>
  <c r="F217" i="3"/>
  <c r="G217" i="3" s="1"/>
  <c r="C217" i="3"/>
  <c r="D217" i="3" s="1"/>
  <c r="E217" i="3" s="1"/>
  <c r="H217" i="3"/>
  <c r="A218" i="3"/>
  <c r="H505" i="3"/>
  <c r="C301" i="3" s="1"/>
  <c r="K48" i="25" s="1"/>
  <c r="F505" i="3"/>
  <c r="H218" i="3" l="1"/>
  <c r="A219" i="3"/>
  <c r="F218" i="3"/>
  <c r="G218" i="3" s="1"/>
  <c r="C218" i="3"/>
  <c r="D218" i="3" s="1"/>
  <c r="E218" i="3" s="1"/>
  <c r="K11" i="40"/>
  <c r="J11" i="40"/>
  <c r="A220" i="3" l="1"/>
  <c r="F219" i="3"/>
  <c r="G219" i="3" s="1"/>
  <c r="C219" i="3"/>
  <c r="D219" i="3" s="1"/>
  <c r="E219" i="3" s="1"/>
  <c r="H219" i="3"/>
  <c r="J16" i="37"/>
  <c r="K16" i="37"/>
  <c r="F220" i="3" l="1"/>
  <c r="G220" i="3" s="1"/>
  <c r="C220" i="3"/>
  <c r="D220" i="3" s="1"/>
  <c r="E220" i="3" s="1"/>
  <c r="H220" i="3"/>
  <c r="A221" i="3"/>
  <c r="J16" i="40"/>
  <c r="E14" i="27"/>
  <c r="E11" i="27"/>
  <c r="J21" i="37"/>
  <c r="G14" i="27"/>
  <c r="I24" i="25" s="1"/>
  <c r="L16" i="40"/>
  <c r="C221" i="3" l="1"/>
  <c r="D221" i="3" s="1"/>
  <c r="E221" i="3" s="1"/>
  <c r="H221" i="3"/>
  <c r="F221" i="3"/>
  <c r="G221" i="3" s="1"/>
  <c r="A222" i="3"/>
  <c r="F14" i="27"/>
  <c r="K16" i="40"/>
  <c r="H222" i="3" l="1"/>
  <c r="A223" i="3"/>
  <c r="F222" i="3"/>
  <c r="G222" i="3" s="1"/>
  <c r="C222" i="3"/>
  <c r="D222" i="3" s="1"/>
  <c r="E222" i="3" s="1"/>
  <c r="K21" i="37"/>
  <c r="F11" i="27"/>
  <c r="F16" i="27" s="1"/>
  <c r="A224" i="3" l="1"/>
  <c r="F223" i="3"/>
  <c r="G223" i="3" s="1"/>
  <c r="C223" i="3"/>
  <c r="D223" i="3" s="1"/>
  <c r="E223" i="3" s="1"/>
  <c r="H223" i="3"/>
  <c r="F224" i="3" l="1"/>
  <c r="G224" i="3" s="1"/>
  <c r="C224" i="3"/>
  <c r="D224" i="3" s="1"/>
  <c r="E224" i="3" s="1"/>
  <c r="H224" i="3"/>
  <c r="A225" i="3"/>
  <c r="L10" i="37"/>
  <c r="H10" i="37"/>
  <c r="AB53" i="3" s="1"/>
  <c r="B225" i="3" l="1"/>
  <c r="A226" i="3" s="1"/>
  <c r="F225" i="3"/>
  <c r="G225" i="3" s="1"/>
  <c r="C225" i="3"/>
  <c r="D225" i="3" s="1"/>
  <c r="E225" i="3" s="1"/>
  <c r="H225" i="3"/>
  <c r="F11" i="37"/>
  <c r="N10" i="37"/>
  <c r="C226" i="3" l="1"/>
  <c r="D226" i="3" s="1"/>
  <c r="E226" i="3" s="1"/>
  <c r="F226" i="3"/>
  <c r="G226" i="3" s="1"/>
  <c r="H226" i="3"/>
  <c r="A227" i="3"/>
  <c r="L11" i="37"/>
  <c r="L20" i="37" s="1"/>
  <c r="L21" i="37" s="1"/>
  <c r="H11" i="37"/>
  <c r="A228" i="3" l="1"/>
  <c r="F227" i="3"/>
  <c r="G227" i="3" s="1"/>
  <c r="C227" i="3"/>
  <c r="D227" i="3" s="1"/>
  <c r="E227" i="3" s="1"/>
  <c r="H227" i="3"/>
  <c r="N11" i="37"/>
  <c r="N20" i="37" s="1"/>
  <c r="L16" i="37"/>
  <c r="G11" i="27" s="1"/>
  <c r="M16" i="37"/>
  <c r="H11" i="27" s="1"/>
  <c r="M21" i="37"/>
  <c r="I18" i="25" l="1"/>
  <c r="I40" i="25" s="1"/>
  <c r="I42" i="25" s="1"/>
  <c r="I44" i="25" s="1"/>
  <c r="G16" i="27"/>
  <c r="N21" i="37"/>
  <c r="H24" i="27"/>
  <c r="A229" i="3"/>
  <c r="F228" i="3"/>
  <c r="G228" i="3" s="1"/>
  <c r="C228" i="3"/>
  <c r="D228" i="3" s="1"/>
  <c r="E228" i="3" s="1"/>
  <c r="H228" i="3"/>
  <c r="N16" i="37"/>
  <c r="I11" i="27" s="1"/>
  <c r="F229" i="3" l="1"/>
  <c r="G229" i="3" s="1"/>
  <c r="C229" i="3"/>
  <c r="D229" i="3" s="1"/>
  <c r="E229" i="3" s="1"/>
  <c r="H229" i="3"/>
  <c r="A230" i="3"/>
  <c r="J11" i="27"/>
  <c r="J17" i="27"/>
  <c r="H22" i="27" s="1"/>
  <c r="H25" i="27" s="1"/>
  <c r="H18" i="25"/>
  <c r="K18" i="25" s="1"/>
  <c r="C230" i="3" l="1"/>
  <c r="D230" i="3" s="1"/>
  <c r="E230" i="3" s="1"/>
  <c r="H230" i="3"/>
  <c r="A231" i="3"/>
  <c r="F230" i="3"/>
  <c r="G230" i="3" s="1"/>
  <c r="H12" i="26"/>
  <c r="H15" i="26" s="1"/>
  <c r="H18" i="26" s="1"/>
  <c r="S53" i="3"/>
  <c r="H231" i="3" l="1"/>
  <c r="A232" i="3"/>
  <c r="F231" i="3"/>
  <c r="G231" i="3" s="1"/>
  <c r="C231" i="3"/>
  <c r="D231" i="3" s="1"/>
  <c r="E231" i="3" s="1"/>
  <c r="H27" i="27"/>
  <c r="H20" i="26"/>
  <c r="A233" i="3" l="1"/>
  <c r="F232" i="3"/>
  <c r="G232" i="3" s="1"/>
  <c r="C232" i="3"/>
  <c r="D232" i="3" s="1"/>
  <c r="E232" i="3" s="1"/>
  <c r="H232" i="3"/>
  <c r="H21" i="26"/>
  <c r="H22" i="26" s="1"/>
  <c r="F233" i="3" l="1"/>
  <c r="G233" i="3" s="1"/>
  <c r="C233" i="3"/>
  <c r="D233" i="3" s="1"/>
  <c r="E233" i="3" s="1"/>
  <c r="H233" i="3"/>
  <c r="A234" i="3"/>
  <c r="H24" i="26"/>
  <c r="Q53" i="3" s="1"/>
  <c r="C234" i="3" l="1"/>
  <c r="D234" i="3" s="1"/>
  <c r="E234" i="3" s="1"/>
  <c r="H234" i="3"/>
  <c r="A235" i="3"/>
  <c r="F234" i="3"/>
  <c r="G234" i="3" s="1"/>
  <c r="H27" i="26"/>
  <c r="H28" i="26" s="1"/>
  <c r="H235" i="3" l="1"/>
  <c r="A236" i="3"/>
  <c r="F235" i="3"/>
  <c r="G235" i="3" s="1"/>
  <c r="C235" i="3"/>
  <c r="D235" i="3" s="1"/>
  <c r="E235" i="3" s="1"/>
  <c r="H29" i="26"/>
  <c r="A237" i="3" l="1"/>
  <c r="C236" i="3"/>
  <c r="D236" i="3" s="1"/>
  <c r="E236" i="3" s="1"/>
  <c r="H236" i="3"/>
  <c r="F236" i="3"/>
  <c r="G236" i="3" s="1"/>
  <c r="L266" i="29"/>
  <c r="J24" i="27"/>
  <c r="L242" i="29"/>
  <c r="L251" i="29" s="1"/>
  <c r="B237" i="3" l="1"/>
  <c r="A238" i="3" s="1"/>
  <c r="C237" i="3"/>
  <c r="D237" i="3" s="1"/>
  <c r="E237" i="3" s="1"/>
  <c r="H237" i="3"/>
  <c r="F237" i="3"/>
  <c r="G237" i="3" s="1"/>
  <c r="M11" i="40"/>
  <c r="N11" i="40"/>
  <c r="F238" i="3" l="1"/>
  <c r="G238" i="3" s="1"/>
  <c r="C238" i="3"/>
  <c r="D238" i="3" s="1"/>
  <c r="E238" i="3" s="1"/>
  <c r="H238" i="3"/>
  <c r="A239" i="3"/>
  <c r="I14" i="27"/>
  <c r="M16" i="40"/>
  <c r="H14" i="27"/>
  <c r="H16" i="27" s="1"/>
  <c r="N16" i="40"/>
  <c r="J18" i="27" l="1"/>
  <c r="I16" i="27"/>
  <c r="C239" i="3"/>
  <c r="D239" i="3" s="1"/>
  <c r="E239" i="3" s="1"/>
  <c r="H239" i="3"/>
  <c r="F239" i="3"/>
  <c r="G239" i="3" s="1"/>
  <c r="A240" i="3"/>
  <c r="H24" i="25"/>
  <c r="K24" i="25" s="1"/>
  <c r="J14" i="27"/>
  <c r="J12" i="26" l="1"/>
  <c r="I22" i="27"/>
  <c r="I25" i="27" s="1"/>
  <c r="J16" i="27"/>
  <c r="H240" i="3"/>
  <c r="A241" i="3"/>
  <c r="F240" i="3"/>
  <c r="G240" i="3" s="1"/>
  <c r="C240" i="3"/>
  <c r="D240" i="3" s="1"/>
  <c r="E240" i="3" s="1"/>
  <c r="J22" i="27"/>
  <c r="L12" i="26" l="1"/>
  <c r="L15" i="26" s="1"/>
  <c r="L18" i="26" s="1"/>
  <c r="J15" i="26"/>
  <c r="J18" i="26" s="1"/>
  <c r="I27" i="27"/>
  <c r="T53" i="3"/>
  <c r="A242" i="3"/>
  <c r="F241" i="3"/>
  <c r="G241" i="3" s="1"/>
  <c r="H241" i="3"/>
  <c r="C241" i="3"/>
  <c r="D241" i="3" s="1"/>
  <c r="E241" i="3" s="1"/>
  <c r="J25" i="27"/>
  <c r="J27" i="27" s="1"/>
  <c r="J20" i="26" l="1"/>
  <c r="F242" i="3"/>
  <c r="G242" i="3" s="1"/>
  <c r="C242" i="3"/>
  <c r="D242" i="3" s="1"/>
  <c r="E242" i="3" s="1"/>
  <c r="A243" i="3"/>
  <c r="H242" i="3"/>
  <c r="L21" i="26" l="1"/>
  <c r="L22" i="26"/>
  <c r="J21" i="26"/>
  <c r="J22" i="26" s="1"/>
  <c r="C243" i="3"/>
  <c r="D243" i="3" s="1"/>
  <c r="E243" i="3" s="1"/>
  <c r="F243" i="3"/>
  <c r="G243" i="3" s="1"/>
  <c r="H243" i="3"/>
  <c r="A244" i="3"/>
  <c r="L20" i="26" l="1"/>
  <c r="L24" i="26" s="1"/>
  <c r="L27" i="26" s="1"/>
  <c r="L28" i="26" s="1"/>
  <c r="J24" i="26"/>
  <c r="R53" i="3" s="1"/>
  <c r="H244" i="3"/>
  <c r="A245" i="3"/>
  <c r="F244" i="3"/>
  <c r="G244" i="3" s="1"/>
  <c r="C244" i="3"/>
  <c r="D244" i="3" s="1"/>
  <c r="E244" i="3" s="1"/>
  <c r="H38" i="25" l="1"/>
  <c r="K38" i="25" s="1"/>
  <c r="P53" i="3" s="1"/>
  <c r="J27" i="26"/>
  <c r="J28" i="26" s="1"/>
  <c r="A246" i="3"/>
  <c r="F245" i="3"/>
  <c r="G245" i="3" s="1"/>
  <c r="C245" i="3"/>
  <c r="D245" i="3" s="1"/>
  <c r="E245" i="3" s="1"/>
  <c r="H245" i="3"/>
  <c r="L29" i="26"/>
  <c r="H40" i="25" l="1"/>
  <c r="J29" i="26"/>
  <c r="F246" i="3"/>
  <c r="G246" i="3" s="1"/>
  <c r="C246" i="3"/>
  <c r="D246" i="3" s="1"/>
  <c r="E246" i="3" s="1"/>
  <c r="H246" i="3"/>
  <c r="A247" i="3"/>
  <c r="H42" i="25" l="1"/>
  <c r="H44" i="25" s="1"/>
  <c r="K40" i="25"/>
  <c r="C247" i="3"/>
  <c r="D247" i="3" s="1"/>
  <c r="E247" i="3" s="1"/>
  <c r="H247" i="3"/>
  <c r="A248" i="3"/>
  <c r="F247" i="3"/>
  <c r="G247" i="3" s="1"/>
  <c r="K42" i="25" l="1"/>
  <c r="K44" i="25" s="1"/>
  <c r="K46" i="25" s="1"/>
  <c r="H248" i="3"/>
  <c r="A249" i="3"/>
  <c r="F248" i="3"/>
  <c r="G248" i="3" s="1"/>
  <c r="C248" i="3"/>
  <c r="D248" i="3" s="1"/>
  <c r="E248" i="3" s="1"/>
  <c r="H249" i="3" l="1"/>
  <c r="B249" i="3"/>
  <c r="A250" i="3" s="1"/>
  <c r="F249" i="3"/>
  <c r="G249" i="3" s="1"/>
  <c r="C249" i="3"/>
  <c r="D249" i="3" s="1"/>
  <c r="E249" i="3" s="1"/>
  <c r="A251" i="3" l="1"/>
  <c r="F250" i="3"/>
  <c r="G250" i="3" s="1"/>
  <c r="C250" i="3"/>
  <c r="D250" i="3" s="1"/>
  <c r="E250" i="3" s="1"/>
  <c r="H250" i="3"/>
  <c r="F251" i="3" l="1"/>
  <c r="G251" i="3" s="1"/>
  <c r="C251" i="3"/>
  <c r="D251" i="3" s="1"/>
  <c r="E251" i="3" s="1"/>
  <c r="H251" i="3"/>
  <c r="A252" i="3"/>
  <c r="C252" i="3" l="1"/>
  <c r="D252" i="3" s="1"/>
  <c r="E252" i="3" s="1"/>
  <c r="H252" i="3"/>
  <c r="A253" i="3"/>
  <c r="F252" i="3"/>
  <c r="G252" i="3" s="1"/>
  <c r="H253" i="3" l="1"/>
  <c r="A254" i="3"/>
  <c r="F253" i="3"/>
  <c r="G253" i="3" s="1"/>
  <c r="C253" i="3"/>
  <c r="D253" i="3" s="1"/>
  <c r="E253" i="3" s="1"/>
  <c r="A255" i="3" l="1"/>
  <c r="C254" i="3"/>
  <c r="D254" i="3" s="1"/>
  <c r="E254" i="3" s="1"/>
  <c r="H254" i="3"/>
  <c r="F254" i="3"/>
  <c r="G254" i="3" s="1"/>
  <c r="F255" i="3" l="1"/>
  <c r="G255" i="3" s="1"/>
  <c r="C255" i="3"/>
  <c r="D255" i="3" s="1"/>
  <c r="E255" i="3" s="1"/>
  <c r="H255" i="3"/>
  <c r="A256" i="3"/>
  <c r="C256" i="3" l="1"/>
  <c r="D256" i="3" s="1"/>
  <c r="E256" i="3" s="1"/>
  <c r="H256" i="3"/>
  <c r="F256" i="3"/>
  <c r="G256" i="3" s="1"/>
  <c r="A257" i="3"/>
  <c r="H257" i="3" l="1"/>
  <c r="A258" i="3"/>
  <c r="F257" i="3"/>
  <c r="G257" i="3" s="1"/>
  <c r="C257" i="3"/>
  <c r="D257" i="3" s="1"/>
  <c r="E257" i="3" s="1"/>
  <c r="A259" i="3" l="1"/>
  <c r="F258" i="3"/>
  <c r="G258" i="3" s="1"/>
  <c r="C258" i="3"/>
  <c r="D258" i="3" s="1"/>
  <c r="E258" i="3" s="1"/>
  <c r="H258" i="3"/>
  <c r="F259" i="3" l="1"/>
  <c r="G259" i="3" s="1"/>
  <c r="C259" i="3"/>
  <c r="D259" i="3" s="1"/>
  <c r="E259" i="3" s="1"/>
  <c r="H259" i="3"/>
  <c r="A260" i="3"/>
  <c r="C260" i="3" l="1"/>
  <c r="D260" i="3" s="1"/>
  <c r="E260" i="3" s="1"/>
  <c r="H260" i="3"/>
  <c r="A261" i="3"/>
  <c r="F260" i="3"/>
  <c r="G260" i="3" s="1"/>
  <c r="C261" i="3" l="1"/>
  <c r="D261" i="3" s="1"/>
  <c r="E261" i="3" s="1"/>
  <c r="H261" i="3"/>
  <c r="B261" i="3"/>
  <c r="A262" i="3" s="1"/>
  <c r="F261" i="3"/>
  <c r="G261" i="3" s="1"/>
  <c r="A263" i="3" l="1"/>
  <c r="C262" i="3"/>
  <c r="D262" i="3" s="1"/>
  <c r="E262" i="3" s="1"/>
  <c r="H262" i="3"/>
  <c r="F262" i="3"/>
  <c r="G262" i="3" s="1"/>
  <c r="A264" i="3" l="1"/>
  <c r="F263" i="3"/>
  <c r="G263" i="3" s="1"/>
  <c r="C263" i="3"/>
  <c r="D263" i="3" s="1"/>
  <c r="E263" i="3" s="1"/>
  <c r="H263" i="3"/>
  <c r="F264" i="3" l="1"/>
  <c r="G264" i="3" s="1"/>
  <c r="C264" i="3"/>
  <c r="D264" i="3" s="1"/>
  <c r="E264" i="3" s="1"/>
  <c r="H264" i="3"/>
  <c r="A265" i="3"/>
  <c r="C265" i="3" l="1"/>
  <c r="D265" i="3" s="1"/>
  <c r="E265" i="3" s="1"/>
  <c r="H265" i="3"/>
  <c r="A266" i="3"/>
  <c r="F265" i="3"/>
  <c r="G265" i="3" s="1"/>
  <c r="H266" i="3" l="1"/>
  <c r="A267" i="3"/>
  <c r="C266" i="3"/>
  <c r="D266" i="3" s="1"/>
  <c r="E266" i="3" s="1"/>
  <c r="F266" i="3"/>
  <c r="G266" i="3" s="1"/>
  <c r="A268" i="3" l="1"/>
  <c r="C267" i="3"/>
  <c r="D267" i="3" s="1"/>
  <c r="E267" i="3" s="1"/>
  <c r="F267" i="3"/>
  <c r="G267" i="3" s="1"/>
  <c r="H267" i="3"/>
  <c r="F268" i="3" l="1"/>
  <c r="G268" i="3" s="1"/>
  <c r="C268" i="3"/>
  <c r="D268" i="3" s="1"/>
  <c r="E268" i="3" s="1"/>
  <c r="H268" i="3"/>
  <c r="A269" i="3"/>
  <c r="C269" i="3" l="1"/>
  <c r="D269" i="3" s="1"/>
  <c r="E269" i="3" s="1"/>
  <c r="H269" i="3"/>
  <c r="F269" i="3"/>
  <c r="G269" i="3" s="1"/>
  <c r="A270" i="3"/>
  <c r="H270" i="3" l="1"/>
  <c r="F270" i="3"/>
  <c r="G270" i="3" s="1"/>
  <c r="C270" i="3"/>
  <c r="D270" i="3" s="1"/>
  <c r="E270" i="3" s="1"/>
  <c r="A271" i="3"/>
  <c r="A272" i="3" l="1"/>
  <c r="F271" i="3"/>
  <c r="G271" i="3" s="1"/>
  <c r="C271" i="3"/>
  <c r="D271" i="3" s="1"/>
  <c r="E271" i="3" s="1"/>
  <c r="H271" i="3"/>
  <c r="F272" i="3" l="1"/>
  <c r="G272" i="3" s="1"/>
  <c r="H272" i="3"/>
  <c r="C272" i="3"/>
  <c r="D272" i="3" s="1"/>
  <c r="E272" i="3" s="1"/>
  <c r="A273" i="3"/>
  <c r="B273" i="3" l="1"/>
  <c r="A274" i="3" s="1"/>
  <c r="F273" i="3"/>
  <c r="G273" i="3" s="1"/>
  <c r="C273" i="3"/>
  <c r="D273" i="3" s="1"/>
  <c r="E273" i="3" s="1"/>
  <c r="H273" i="3"/>
  <c r="C274" i="3" l="1"/>
  <c r="D274" i="3" s="1"/>
  <c r="E274" i="3" s="1"/>
  <c r="H274" i="3"/>
  <c r="A275" i="3"/>
  <c r="F274" i="3"/>
  <c r="G274" i="3" s="1"/>
  <c r="H275" i="3" l="1"/>
  <c r="F275" i="3"/>
  <c r="G275" i="3" s="1"/>
  <c r="C275" i="3"/>
  <c r="D275" i="3" s="1"/>
  <c r="E275" i="3" s="1"/>
  <c r="A276" i="3"/>
  <c r="A277" i="3" l="1"/>
  <c r="F276" i="3"/>
  <c r="G276" i="3" s="1"/>
  <c r="C276" i="3"/>
  <c r="D276" i="3" s="1"/>
  <c r="E276" i="3" s="1"/>
  <c r="H276" i="3"/>
  <c r="F277" i="3" l="1"/>
  <c r="G277" i="3" s="1"/>
  <c r="C277" i="3"/>
  <c r="D277" i="3" s="1"/>
  <c r="E277" i="3" s="1"/>
  <c r="H277" i="3"/>
  <c r="A278" i="3"/>
  <c r="C278" i="3" l="1"/>
  <c r="D278" i="3" s="1"/>
  <c r="E278" i="3" s="1"/>
  <c r="H278" i="3"/>
  <c r="A279" i="3"/>
  <c r="F278" i="3"/>
  <c r="G278" i="3" s="1"/>
  <c r="H279" i="3" l="1"/>
  <c r="A280" i="3"/>
  <c r="C279" i="3"/>
  <c r="D279" i="3" s="1"/>
  <c r="E279" i="3" s="1"/>
  <c r="F279" i="3"/>
  <c r="G279" i="3" s="1"/>
  <c r="A281" i="3" l="1"/>
  <c r="F280" i="3"/>
  <c r="G280" i="3" s="1"/>
  <c r="C280" i="3"/>
  <c r="D280" i="3" s="1"/>
  <c r="E280" i="3" s="1"/>
  <c r="H280" i="3"/>
  <c r="F281" i="3" l="1"/>
  <c r="G281" i="3" s="1"/>
  <c r="C281" i="3"/>
  <c r="D281" i="3" s="1"/>
  <c r="E281" i="3" s="1"/>
  <c r="H281" i="3"/>
  <c r="A282" i="3"/>
  <c r="C282" i="3" l="1"/>
  <c r="D282" i="3" s="1"/>
  <c r="E282" i="3" s="1"/>
  <c r="H282" i="3"/>
  <c r="A283" i="3"/>
  <c r="F282" i="3"/>
  <c r="G282" i="3" s="1"/>
  <c r="H283" i="3" l="1"/>
  <c r="A284" i="3"/>
  <c r="F283" i="3"/>
  <c r="G283" i="3" s="1"/>
  <c r="C283" i="3"/>
  <c r="D283" i="3" s="1"/>
  <c r="E283" i="3" s="1"/>
  <c r="A285" i="3" l="1"/>
  <c r="C284" i="3"/>
  <c r="D284" i="3" s="1"/>
  <c r="E284" i="3" s="1"/>
  <c r="H284" i="3"/>
  <c r="F284" i="3"/>
  <c r="G284" i="3" s="1"/>
  <c r="B285" i="3" l="1"/>
  <c r="A286" i="3" s="1"/>
  <c r="F285" i="3"/>
  <c r="G285" i="3" s="1"/>
  <c r="C285" i="3"/>
  <c r="D285" i="3" s="1"/>
  <c r="E285" i="3" s="1"/>
  <c r="H285" i="3"/>
  <c r="F286" i="3" l="1"/>
  <c r="G286" i="3" s="1"/>
  <c r="C286" i="3"/>
  <c r="D286" i="3" s="1"/>
  <c r="E286" i="3" s="1"/>
  <c r="H286" i="3"/>
  <c r="A287" i="3"/>
  <c r="C287" i="3" l="1"/>
  <c r="D287" i="3" s="1"/>
  <c r="E287" i="3" s="1"/>
  <c r="H287" i="3"/>
  <c r="F287" i="3"/>
  <c r="G287" i="3" s="1"/>
  <c r="F153" i="51" l="1"/>
  <c r="F161" i="51" l="1"/>
  <c r="F149" i="51" s="1"/>
  <c r="G14" i="25"/>
  <c r="G40" i="25" l="1"/>
  <c r="G42" i="25" s="1"/>
  <c r="F163" i="51"/>
  <c r="F165" i="51" l="1"/>
  <c r="G44" i="25"/>
  <c r="B13" i="47" l="1"/>
  <c r="B76" i="47" s="1"/>
  <c r="B24" i="54"/>
  <c r="E24" i="54" s="1"/>
  <c r="E9" i="27"/>
  <c r="B13" i="24" l="1"/>
  <c r="B76" i="24" s="1"/>
  <c r="B13" i="46"/>
  <c r="B76" i="46" s="1"/>
  <c r="C25" i="54"/>
  <c r="B25" i="54"/>
  <c r="E16" i="27"/>
  <c r="F17" i="2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D13" authorId="0" shapeId="0" xr:uid="{A388F6AF-44C7-481C-B4AC-AA2176CEBC8A}">
      <text>
        <r>
          <rPr>
            <b/>
            <sz val="9"/>
            <color indexed="81"/>
            <rFont val="Tahoma"/>
            <family val="2"/>
          </rPr>
          <t>Please complete once contract is award for Fee Claim Setup</t>
        </r>
        <r>
          <rPr>
            <sz val="9"/>
            <color indexed="81"/>
            <rFont val="Tahoma"/>
            <family val="2"/>
          </rPr>
          <t xml:space="preserve">
</t>
        </r>
      </text>
    </comment>
    <comment ref="D15" authorId="0" shapeId="0" xr:uid="{8CB47A0B-ECD6-482E-A03E-8DD72A3BDAC3}">
      <text>
        <r>
          <rPr>
            <b/>
            <sz val="9"/>
            <color indexed="81"/>
            <rFont val="Tahoma"/>
            <family val="2"/>
          </rPr>
          <t>Please complete once contract is award for Fee Claim Setup</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56" authorId="0" shapeId="0" xr:uid="{1D0CF563-38B8-4FE3-9298-8B6CD891E38E}">
      <text>
        <r>
          <rPr>
            <b/>
            <sz val="9"/>
            <color indexed="81"/>
            <rFont val="Tahoma"/>
            <family val="2"/>
          </rPr>
          <t>Rate will be populated by CE  and Other Hours entered for OMW stage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G21" authorId="0" shapeId="0" xr:uid="{00000000-0006-0000-0600-000001000000}">
      <text>
        <r>
          <rPr>
            <b/>
            <sz val="9"/>
            <color indexed="81"/>
            <rFont val="Tahoma"/>
            <family val="2"/>
          </rPr>
          <t>Insert % to Reduce Retention</t>
        </r>
        <r>
          <rPr>
            <sz val="9"/>
            <color indexed="81"/>
            <rFont val="Tahoma"/>
            <family val="2"/>
          </rPr>
          <t xml:space="preserve">
</t>
        </r>
      </text>
    </comment>
    <comment ref="G22" authorId="0" shapeId="0" xr:uid="{00000000-0006-0000-0600-000002000000}">
      <text>
        <r>
          <rPr>
            <b/>
            <sz val="9"/>
            <color indexed="81"/>
            <rFont val="Tahoma"/>
            <family val="2"/>
          </rPr>
          <t>Insert % to Reduce Retention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J1009" authorId="0" shapeId="0" xr:uid="{00000000-0006-0000-1700-000001000000}">
      <text>
        <r>
          <rPr>
            <sz val="9"/>
            <color indexed="81"/>
            <rFont val="Tahoma"/>
            <family val="2"/>
          </rPr>
          <t xml:space="preserve">This cost is a forecasted estimate at the planned commencement of the works contract (excluding contingencies, CPA during the construction period and VAT). </t>
        </r>
      </text>
    </comment>
  </commentList>
</comments>
</file>

<file path=xl/sharedStrings.xml><?xml version="1.0" encoding="utf-8"?>
<sst xmlns="http://schemas.openxmlformats.org/spreadsheetml/2006/main" count="1516" uniqueCount="732">
  <si>
    <t>Description</t>
  </si>
  <si>
    <t>Unit</t>
  </si>
  <si>
    <t>Quantity</t>
  </si>
  <si>
    <t>Rate</t>
  </si>
  <si>
    <t>Project Leader</t>
  </si>
  <si>
    <t>Alternate Project Leader</t>
  </si>
  <si>
    <t>CE</t>
  </si>
  <si>
    <t>Contracts Engineer</t>
  </si>
  <si>
    <t>Alternate Contracts Engineer</t>
  </si>
  <si>
    <t>Resident Engineer</t>
  </si>
  <si>
    <t>Senior Materials Technician</t>
  </si>
  <si>
    <t>Project Leader (Toll)</t>
  </si>
  <si>
    <t>Design Specialist (Toll)</t>
  </si>
  <si>
    <t>Electronics Systems Engineer (Toll)</t>
  </si>
  <si>
    <t>DS1</t>
  </si>
  <si>
    <t>DS2</t>
  </si>
  <si>
    <t>DS3</t>
  </si>
  <si>
    <t>DS4</t>
  </si>
  <si>
    <t>DS5</t>
  </si>
  <si>
    <t>A</t>
  </si>
  <si>
    <t>B</t>
  </si>
  <si>
    <t>C</t>
  </si>
  <si>
    <t>D</t>
  </si>
  <si>
    <t>RATE</t>
  </si>
  <si>
    <t>None</t>
  </si>
  <si>
    <t>ALL CATEGORIES</t>
  </si>
  <si>
    <t>SOUTH AFRICAN NATIONAL ROADS AGENCY SOC LTD</t>
  </si>
  <si>
    <t>PL1</t>
  </si>
  <si>
    <t>PL(T)</t>
  </si>
  <si>
    <t>APL1</t>
  </si>
  <si>
    <t>APL2</t>
  </si>
  <si>
    <t>DL(T)</t>
  </si>
  <si>
    <t>ACE1</t>
  </si>
  <si>
    <t>ACE3</t>
  </si>
  <si>
    <t>DS(T)</t>
  </si>
  <si>
    <t>CE1</t>
  </si>
  <si>
    <t>RE1</t>
  </si>
  <si>
    <t>SMT1</t>
  </si>
  <si>
    <t>SMT2</t>
  </si>
  <si>
    <t>ETS(T)</t>
  </si>
  <si>
    <t>Senior Materials Technician 2</t>
  </si>
  <si>
    <t>Alternate Project Leader 2</t>
  </si>
  <si>
    <t>Design Leader (Toll)</t>
  </si>
  <si>
    <t>Alternate Contracts Engineer 3</t>
  </si>
  <si>
    <t>Design Specialist 1 - Pavement and Materials</t>
  </si>
  <si>
    <t>Design Specialist 2 - Structures</t>
  </si>
  <si>
    <t>Design Specialist 3 - Geometrics</t>
  </si>
  <si>
    <t>Design Specialist 4 - Traffic and Transportation</t>
  </si>
  <si>
    <t>Design Specialist 5</t>
  </si>
  <si>
    <t>INSERT KEY PERSONS NAMES BELOW</t>
  </si>
  <si>
    <t>TOTAL</t>
  </si>
  <si>
    <t>Project Details Input Sheet</t>
  </si>
  <si>
    <t>Note:</t>
  </si>
  <si>
    <t>Road works</t>
  </si>
  <si>
    <t xml:space="preserve">SANRAL INPUT </t>
  </si>
  <si>
    <t>light blue cells to be input by SANRAL</t>
  </si>
  <si>
    <t>Structures</t>
  </si>
  <si>
    <t xml:space="preserve">yellow cells to be input by service provider in tender stage </t>
  </si>
  <si>
    <t>Electrical</t>
  </si>
  <si>
    <t>Building</t>
  </si>
  <si>
    <t>An example project</t>
  </si>
  <si>
    <t>Mechanical</t>
  </si>
  <si>
    <t>Electronic</t>
  </si>
  <si>
    <t>Proportion of fee to be paid under project phases</t>
  </si>
  <si>
    <t>Estimated cost of works</t>
  </si>
  <si>
    <t>Work Type Name</t>
  </si>
  <si>
    <t>Work type classification</t>
  </si>
  <si>
    <t>Project Phases Required</t>
  </si>
  <si>
    <t>Concept Design (CD)</t>
  </si>
  <si>
    <t>Preliminary Design (PD)</t>
  </si>
  <si>
    <t>Detailed Design (DD)</t>
  </si>
  <si>
    <t>Administration &amp; Monitoring (AMW)</t>
  </si>
  <si>
    <t>Close out (CO)</t>
  </si>
  <si>
    <t>EST (Excl. VAT)</t>
  </si>
  <si>
    <t>Full service</t>
  </si>
  <si>
    <t>DD, AMW, CO</t>
  </si>
  <si>
    <t>CD</t>
  </si>
  <si>
    <t>PD</t>
  </si>
  <si>
    <t>DD</t>
  </si>
  <si>
    <t>AMW</t>
  </si>
  <si>
    <t>CO</t>
  </si>
  <si>
    <t>Concept Design</t>
  </si>
  <si>
    <t>Preliminary Design</t>
  </si>
  <si>
    <t>Detailed Design</t>
  </si>
  <si>
    <t>Administration &amp; Monitoring of works contract</t>
  </si>
  <si>
    <t>Close out</t>
  </si>
  <si>
    <t xml:space="preserve">Building </t>
  </si>
  <si>
    <t>CD &amp; PD</t>
  </si>
  <si>
    <t>CD ,PD&amp; DD</t>
  </si>
  <si>
    <t>PD &amp; DD</t>
  </si>
  <si>
    <t>PD, DD, AMW, CO</t>
  </si>
  <si>
    <t>AMW &amp; CO</t>
  </si>
  <si>
    <t>Mechanical, Electrical and Electronic</t>
  </si>
  <si>
    <t>Item No.</t>
  </si>
  <si>
    <t>Disbursements</t>
  </si>
  <si>
    <t>Occupational Health and Safety requirements</t>
  </si>
  <si>
    <t>SUB-TOTAL</t>
  </si>
  <si>
    <t xml:space="preserve">Day </t>
  </si>
  <si>
    <t xml:space="preserve">Month </t>
  </si>
  <si>
    <t>Year</t>
  </si>
  <si>
    <t>Date code:</t>
  </si>
  <si>
    <t xml:space="preserve">Date </t>
  </si>
  <si>
    <t>TENDER DOCUMENTATION</t>
  </si>
  <si>
    <t>Lump Sum</t>
  </si>
  <si>
    <t>Project Description:</t>
  </si>
  <si>
    <t>Project Number :</t>
  </si>
  <si>
    <t>NO</t>
  </si>
  <si>
    <t>YES</t>
  </si>
  <si>
    <t>Additional duties by Service Provider</t>
  </si>
  <si>
    <t>Hour</t>
  </si>
  <si>
    <t>Complete the light yellow shaded cells in the 1st claim</t>
  </si>
  <si>
    <t>Amend the light blue shaded cells with every claim</t>
  </si>
  <si>
    <t>F1 Cover</t>
  </si>
  <si>
    <t>Pg 2 Sum Scheduled &amp;</t>
  </si>
  <si>
    <t>Ensure references on Pg 2 Sum Schedule match relevant totals in Pricing schedule</t>
  </si>
  <si>
    <t>Pricing Schedules</t>
  </si>
  <si>
    <t>Pg 3 Travel</t>
  </si>
  <si>
    <t xml:space="preserve"> SOUTH AFRICAN NATIONAL ROADS AGENCY LTD</t>
  </si>
  <si>
    <t>Consulting Engineers Fee Account</t>
  </si>
  <si>
    <t>SUMMARY FORM</t>
  </si>
  <si>
    <t xml:space="preserve"> REGION:</t>
  </si>
  <si>
    <t>Contract No.:</t>
  </si>
  <si>
    <t>Account no.:</t>
  </si>
  <si>
    <t>CONTRACT No</t>
  </si>
  <si>
    <t>DESCRIPTION</t>
  </si>
  <si>
    <t>START DATE</t>
  </si>
  <si>
    <t>COMPLETION DATE</t>
  </si>
  <si>
    <t>CONSULTANT</t>
  </si>
  <si>
    <t>FEE BUDGET AMOUNT</t>
  </si>
  <si>
    <t>(VAT INCLUDED)</t>
  </si>
  <si>
    <t>CONTRACTOR</t>
  </si>
  <si>
    <t>CONSTRUCTION BUDGET AMOUNT</t>
  </si>
  <si>
    <t>MONTH</t>
  </si>
  <si>
    <t>ESTIMATED EXPENDITURE</t>
  </si>
  <si>
    <t>ACTUAL PAYMENT</t>
  </si>
  <si>
    <t>DESIGN &amp; DIVERSE SERVICES</t>
  </si>
  <si>
    <t>SUPERVISION</t>
  </si>
  <si>
    <t>CONSTRUCTION</t>
  </si>
  <si>
    <t>Sub-Total 2014/2015</t>
  </si>
  <si>
    <t>Sub-Total 2015/2016</t>
  </si>
  <si>
    <t>Sub-Total 2016/2017</t>
  </si>
  <si>
    <t>TOTALS</t>
  </si>
  <si>
    <r>
      <t xml:space="preserve">Actual - </t>
    </r>
    <r>
      <rPr>
        <b/>
        <sz val="12"/>
        <color indexed="10"/>
        <rFont val="Arial"/>
        <family val="2"/>
      </rPr>
      <t>Red</t>
    </r>
    <r>
      <rPr>
        <sz val="12"/>
        <rFont val="Arial"/>
        <family val="2"/>
      </rPr>
      <t xml:space="preserve"> or </t>
    </r>
    <r>
      <rPr>
        <b/>
        <sz val="12"/>
        <rFont val="Arial"/>
        <family val="2"/>
      </rPr>
      <t>Bold</t>
    </r>
  </si>
  <si>
    <t>Estimate - Black</t>
  </si>
  <si>
    <t xml:space="preserve">  SOUTH AFRICAN NATIONAL ROADS AGENCY LIMITED</t>
  </si>
  <si>
    <t xml:space="preserve">CLAIM:  Consulting Engineers Fees                                        </t>
  </si>
  <si>
    <t>Form 1</t>
  </si>
  <si>
    <t xml:space="preserve">  Payable to</t>
  </si>
  <si>
    <t xml:space="preserve">  File No:</t>
  </si>
  <si>
    <t>Address</t>
  </si>
  <si>
    <t xml:space="preserve">  Vat Registration No. :</t>
  </si>
  <si>
    <t>Consultants Ref.</t>
  </si>
  <si>
    <t>Contract no. :</t>
  </si>
  <si>
    <t xml:space="preserve">  Project Description</t>
  </si>
  <si>
    <t>Consultants Invoice No.</t>
  </si>
  <si>
    <t>Account no.</t>
  </si>
  <si>
    <t>ITEM</t>
  </si>
  <si>
    <t>TENDERED AMOUNT</t>
  </si>
  <si>
    <t xml:space="preserve">      TOTAL TO DATE</t>
  </si>
  <si>
    <t>TOTAL PREVIOUS PAYMENTS</t>
  </si>
  <si>
    <t>TOTAL NOW PAYABLE</t>
  </si>
  <si>
    <t>FORM</t>
  </si>
  <si>
    <t>APPOINTMENT APPROVED BY BOARD</t>
  </si>
  <si>
    <t xml:space="preserve">  Date:</t>
  </si>
  <si>
    <t xml:space="preserve">  Item No:</t>
  </si>
  <si>
    <t xml:space="preserve"> PAYMENT AUTHORISATION</t>
  </si>
  <si>
    <t>…………………………..</t>
  </si>
  <si>
    <t xml:space="preserve"> PROJECT MANAGER       </t>
  </si>
  <si>
    <t xml:space="preserve"> DATE</t>
  </si>
  <si>
    <t xml:space="preserve">Esc </t>
  </si>
  <si>
    <t xml:space="preserve">Escalation </t>
  </si>
  <si>
    <t>ESC2</t>
  </si>
  <si>
    <t>………………………</t>
  </si>
  <si>
    <t xml:space="preserve"> FINANCIAL MANAGER        </t>
  </si>
  <si>
    <t xml:space="preserve"> FINAL ACCOUNT:  APPROVED</t>
  </si>
  <si>
    <t>Retention @ 10%</t>
  </si>
  <si>
    <t>Sub-Total</t>
  </si>
  <si>
    <t>GRAND TOTAL:</t>
  </si>
  <si>
    <t xml:space="preserve"> REGIONAL MANAGER        </t>
  </si>
  <si>
    <t>AMOUNT PAYABLE</t>
  </si>
  <si>
    <t>BUDGET AMOUNT AS PER CASHFLOW</t>
  </si>
  <si>
    <t xml:space="preserve">  …………………………..</t>
  </si>
  <si>
    <t xml:space="preserve">   ……………….........</t>
  </si>
  <si>
    <t xml:space="preserve"> CONSULTING ENGINEER</t>
  </si>
  <si>
    <t xml:space="preserve">   DATE</t>
  </si>
  <si>
    <t>PAGE 1</t>
  </si>
  <si>
    <t xml:space="preserve">ACCOUNT NO </t>
  </si>
  <si>
    <t>PAYMENT CALCULATION FOR WORK DONE TO DATE</t>
  </si>
  <si>
    <t>FROM</t>
  </si>
  <si>
    <t>PAGE</t>
  </si>
  <si>
    <t>Design</t>
  </si>
  <si>
    <t>Supervision</t>
  </si>
  <si>
    <t>Actual</t>
  </si>
  <si>
    <t>Value of scheduled work to date</t>
  </si>
  <si>
    <t>Add: Value of Extra work (Variation Orders) - CPI Applic.</t>
  </si>
  <si>
    <t>Add: Value of Extra work (Variation Orders) - CPI not Applic.</t>
  </si>
  <si>
    <t>Sub-total</t>
  </si>
  <si>
    <t>Add: Total contract price adjustment</t>
  </si>
  <si>
    <t>Deduct: Penalties</t>
  </si>
  <si>
    <t>Sub-total (A)</t>
  </si>
  <si>
    <t>Deduct: Previous certificate (A)</t>
  </si>
  <si>
    <t>Total this certificate</t>
  </si>
  <si>
    <t>NET AMOUNT NOW DUE FOR PAYMENT</t>
  </si>
  <si>
    <t xml:space="preserve"> CONSULTING FIRM</t>
  </si>
  <si>
    <t>DATE</t>
  </si>
  <si>
    <t>SANRAL PROJECT MANAGER</t>
  </si>
  <si>
    <t>PAGE 2</t>
  </si>
  <si>
    <t>ACCOUNT NO</t>
  </si>
  <si>
    <t>SUMMARY OF SCHEDULED WORK</t>
  </si>
  <si>
    <t>Section</t>
  </si>
  <si>
    <t>From Page</t>
  </si>
  <si>
    <t>Scheduled</t>
  </si>
  <si>
    <t>Revised</t>
  </si>
  <si>
    <t>Previous</t>
  </si>
  <si>
    <t>This Month</t>
  </si>
  <si>
    <t>Total to Date</t>
  </si>
  <si>
    <t>Outstanding</t>
  </si>
  <si>
    <t>Total Scheduled work</t>
  </si>
  <si>
    <t>Total Scheduled Design (A) to Page 1</t>
  </si>
  <si>
    <t>Total Scheduled Supervision (B) to Page 1</t>
  </si>
  <si>
    <t>ESCALATABLE WORK</t>
  </si>
  <si>
    <t>Total</t>
  </si>
  <si>
    <t xml:space="preserve">Subtotal Escalatable work (C) </t>
  </si>
  <si>
    <t>Deduct: Previous Certificate Escalatable work (C)</t>
  </si>
  <si>
    <t>Net amount of Work for current month C.P.A. to Page 9</t>
  </si>
  <si>
    <t>PAGE 3</t>
  </si>
  <si>
    <t xml:space="preserve">TRAVEL FOR SITE PERSONNEL </t>
  </si>
  <si>
    <t>Name</t>
  </si>
  <si>
    <t>Period</t>
  </si>
  <si>
    <t>Car Details</t>
  </si>
  <si>
    <t>Km</t>
  </si>
  <si>
    <t>Amount</t>
  </si>
  <si>
    <t>Total to date</t>
  </si>
  <si>
    <t>From</t>
  </si>
  <si>
    <t>To</t>
  </si>
  <si>
    <t>Make and Type</t>
  </si>
  <si>
    <t>cm3</t>
  </si>
  <si>
    <t>Per Km</t>
  </si>
  <si>
    <t>Site Travel</t>
  </si>
  <si>
    <t>Total km</t>
  </si>
  <si>
    <t>FIXED</t>
  </si>
  <si>
    <t>CHANGE</t>
  </si>
  <si>
    <t>PP</t>
  </si>
  <si>
    <t>SUB TOTAL</t>
  </si>
  <si>
    <t>PAGE 4.1</t>
  </si>
  <si>
    <t>PROVISIONAL SUM / PC SUM BREAKDOWN &amp; MARK-UP</t>
  </si>
  <si>
    <t>Carried forward to Page 4.2</t>
  </si>
  <si>
    <t>PAGE 4.2</t>
  </si>
  <si>
    <t>CONTRACT NO:</t>
  </si>
  <si>
    <t>Brought forward from Page 4.1</t>
  </si>
  <si>
    <t>Carried forward to Page 4.3</t>
  </si>
  <si>
    <t>PAGE 4.3</t>
  </si>
  <si>
    <t>Brought forward from Page 4.2</t>
  </si>
  <si>
    <t>PAGE 4.4</t>
  </si>
  <si>
    <t>Brought forward from Page 4.3</t>
  </si>
  <si>
    <t>Design phase: Total Provisional sums and PC Sums &amp; mark-up to Page 2</t>
  </si>
  <si>
    <t>Supervision phase: Total Provisional sums and PC Sums &amp; mark-up to Page 2</t>
  </si>
  <si>
    <t>Total Provisional Sums and PC Sum &amp; Mark-up</t>
  </si>
  <si>
    <t>PAGE 5</t>
  </si>
  <si>
    <t xml:space="preserve">ACCOUNT NO: </t>
  </si>
  <si>
    <t>ADDITIONAL DUTIES BREAKDOWN</t>
  </si>
  <si>
    <t>A {type of additional duties}</t>
  </si>
  <si>
    <t>(a) Category A ________________________</t>
  </si>
  <si>
    <t>(b) Category B ________________________</t>
  </si>
  <si>
    <t>(c) Category C Daan de Winnaar</t>
  </si>
  <si>
    <t>hr</t>
  </si>
  <si>
    <t>(c) Category C ________________________</t>
  </si>
  <si>
    <t>(d) Category D ________________________</t>
  </si>
  <si>
    <t>i) Travelling , Daan de Winnaar</t>
  </si>
  <si>
    <t>km</t>
  </si>
  <si>
    <t>ii)</t>
  </si>
  <si>
    <t>B {type of additional duties}</t>
  </si>
  <si>
    <t>i)</t>
  </si>
  <si>
    <t>Total Additional Duties</t>
  </si>
  <si>
    <t>PAGE 6</t>
  </si>
  <si>
    <t>Design phase</t>
  </si>
  <si>
    <t>Design phase variation orders</t>
  </si>
  <si>
    <t>Supervision phase</t>
  </si>
  <si>
    <t>Supervision phase variation orders</t>
  </si>
  <si>
    <t>Design phase: Total Variation orders (CPI applicable) to Page 2 &amp; Page 1</t>
  </si>
  <si>
    <t>Supervision phase: Total Variation orders (CPI applicable) to Page 2 &amp; Page 1</t>
  </si>
  <si>
    <t>Total Variation Orders (CPI applicable)</t>
  </si>
  <si>
    <t>PAGE 7</t>
  </si>
  <si>
    <t>Design phase: Total Variation orders (CPI not applicable) to Page 1</t>
  </si>
  <si>
    <t>Supervision phase: Total Variation orders (CPI not applicable) to Page 1</t>
  </si>
  <si>
    <t>Total Variation Orders (CPI not applicable)</t>
  </si>
  <si>
    <t>PAGE 8</t>
  </si>
  <si>
    <t>PENALTIES</t>
  </si>
  <si>
    <t>Penalty</t>
  </si>
  <si>
    <t>Design phase penalties</t>
  </si>
  <si>
    <t>Supervision phase penalties</t>
  </si>
  <si>
    <t>Design phase: Total Penalties to Page 1</t>
  </si>
  <si>
    <t>Supervision phase: Total Penalties to Page 1</t>
  </si>
  <si>
    <t>Total Penalties</t>
  </si>
  <si>
    <t>PAGE 9</t>
  </si>
  <si>
    <t>CONTRACT PRICE ADJUSTMENT</t>
  </si>
  <si>
    <t xml:space="preserve">                          Ct   </t>
  </si>
  <si>
    <t>Base Date</t>
  </si>
  <si>
    <t>f = (1-x)  *  { a -------  -1 }</t>
  </si>
  <si>
    <t>Co = Lo</t>
  </si>
  <si>
    <t>Urban Area</t>
  </si>
  <si>
    <t xml:space="preserve">                          Co</t>
  </si>
  <si>
    <t>Ct = Lt</t>
  </si>
  <si>
    <t>x =</t>
  </si>
  <si>
    <t>a =</t>
  </si>
  <si>
    <t>* denotes provisional index</t>
  </si>
  <si>
    <t>No</t>
  </si>
  <si>
    <t>Month</t>
  </si>
  <si>
    <t>L</t>
  </si>
  <si>
    <t>Factor</t>
  </si>
  <si>
    <t>Work Done</t>
  </si>
  <si>
    <t>CPA</t>
  </si>
  <si>
    <t>BASE</t>
  </si>
  <si>
    <t>DESIGN</t>
  </si>
  <si>
    <t>*</t>
  </si>
  <si>
    <t>Total Design to Page 1</t>
  </si>
  <si>
    <t>Sub Total Supervision</t>
  </si>
  <si>
    <t>Total Supervision to Page 1</t>
  </si>
  <si>
    <r>
      <t xml:space="preserve">  </t>
    </r>
    <r>
      <rPr>
        <b/>
        <sz val="10"/>
        <rFont val="Arial"/>
        <family val="2"/>
      </rPr>
      <t>SOUTH AFRICAN NATIONAL ROADS AGENCY LIMITED</t>
    </r>
  </si>
  <si>
    <t xml:space="preserve">CLAIM:  Consulting Engineers Fees                                                                                                </t>
  </si>
  <si>
    <t xml:space="preserve"> Account No.</t>
  </si>
  <si>
    <t xml:space="preserve"> Contract No.</t>
  </si>
  <si>
    <t>PRICING SCHEDULE</t>
  </si>
  <si>
    <t>Sched. Quantity</t>
  </si>
  <si>
    <t>Fin. Est. Quantity</t>
  </si>
  <si>
    <t>Prev. Quantity</t>
  </si>
  <si>
    <t>This month Quantity</t>
  </si>
  <si>
    <t>Total current Quantity</t>
  </si>
  <si>
    <t>Sched. Amount</t>
  </si>
  <si>
    <t>Fin. Est. Amount</t>
  </si>
  <si>
    <t>Prev. Amount</t>
  </si>
  <si>
    <t>This month Amount</t>
  </si>
  <si>
    <t>Total current Amount (R)</t>
  </si>
  <si>
    <t>TOTAL CARRIED FORWARD TO PAGE 2</t>
  </si>
  <si>
    <r>
      <t xml:space="preserve">  </t>
    </r>
    <r>
      <rPr>
        <b/>
        <sz val="9"/>
        <rFont val="Arial"/>
        <family val="2"/>
      </rPr>
      <t>SOUTH AFRICAN NATIONAL ROADS AGENCY LIMITED</t>
    </r>
  </si>
  <si>
    <t xml:space="preserve">CLAIM:  Consulting Engineers Fees                                                                                               </t>
  </si>
  <si>
    <t>LOG SHEET FOR SITE PERSONNEL</t>
  </si>
  <si>
    <t>NAME :</t>
  </si>
  <si>
    <t>VEHICLE :</t>
  </si>
  <si>
    <t>MONTH :</t>
  </si>
  <si>
    <t>CAPACITY :</t>
  </si>
  <si>
    <t>SITE :</t>
  </si>
  <si>
    <t>REG. NO. :</t>
  </si>
  <si>
    <t>ODOMETER</t>
  </si>
  <si>
    <t>DISTANCE TRAVELLED</t>
  </si>
  <si>
    <t>DESTINATION</t>
  </si>
  <si>
    <t>PURPOSE</t>
  </si>
  <si>
    <t>TO/FROM SITE</t>
  </si>
  <si>
    <t>BUSINESS</t>
  </si>
  <si>
    <t>PRIVATE</t>
  </si>
  <si>
    <t>Opening</t>
  </si>
  <si>
    <t>DATE :</t>
  </si>
  <si>
    <t>Provision of Supervisory Staff and Equipment</t>
  </si>
  <si>
    <t>FULL PROJECT</t>
  </si>
  <si>
    <t>3 X COW ON HIGH SIDE</t>
  </si>
  <si>
    <t>COW divided by 3 ON THE LOW SIDE</t>
  </si>
  <si>
    <t>HOUR CATEGORY</t>
  </si>
  <si>
    <t>Specify:</t>
  </si>
  <si>
    <t>Industrial</t>
  </si>
  <si>
    <t>Other: Industrial</t>
  </si>
  <si>
    <t>DROP-OFF % MULTIPLIER SET FOR THIS PROJECT:</t>
  </si>
  <si>
    <t>Limit of 20% above EST before % Increase</t>
  </si>
  <si>
    <t>Limit of 20% below EST before % decrease</t>
  </si>
  <si>
    <t>% of Project</t>
  </si>
  <si>
    <t>Road works, Structures, Building and Other</t>
  </si>
  <si>
    <t>Name for "Other" category:</t>
  </si>
  <si>
    <t>Consultant Account no.:</t>
  </si>
  <si>
    <t>Contractor Account no.:</t>
  </si>
  <si>
    <t>INTERIM  ACCOUNT:  APPROVED</t>
  </si>
  <si>
    <t>INTERIM ACCOUNT:  RECOMMENDATION</t>
  </si>
  <si>
    <t xml:space="preserve"> NOM. PROJECT MAN.</t>
  </si>
  <si>
    <r>
      <t xml:space="preserve">  </t>
    </r>
    <r>
      <rPr>
        <b/>
        <sz val="11"/>
        <rFont val="Arial"/>
        <family val="2"/>
      </rPr>
      <t xml:space="preserve">REGION: </t>
    </r>
  </si>
  <si>
    <t>% OF VALUE OF WORK</t>
  </si>
  <si>
    <t>FINALIZED</t>
  </si>
  <si>
    <t>DATE OF TENDER CLOSE</t>
  </si>
  <si>
    <t>Leap Years</t>
  </si>
  <si>
    <t>Consultant Fee Claim Month:</t>
  </si>
  <si>
    <t>Latest</t>
  </si>
  <si>
    <t>CATEGORY OF PROJECT</t>
  </si>
  <si>
    <t>Related % of Project Phases</t>
  </si>
  <si>
    <t>red cells are default values unless change approved by the D&amp;C Cluster</t>
  </si>
  <si>
    <t>THESE VALUES CAN ONLY BE CHANGED ON APPROVAL BY THE D&amp;C CLUSTER AND THE ADMINISTRATOR OF THE SPREADSHEET MUST BE CONTACTED TO MAKE THE APPROVED CHANGE</t>
  </si>
  <si>
    <t>INCL. IN CALCULATION FOR CPA</t>
  </si>
  <si>
    <t>TOTAL CHECK</t>
  </si>
  <si>
    <t>EXCL. IN CALCULATION FOR CPA</t>
  </si>
  <si>
    <t>Add: Extra work (WAFs) with CPI applicable from Page 6</t>
  </si>
  <si>
    <t>WORKS AUTHORISATION FORMS (NOT REFLECTED IN PRICING SCHEDULE) - CPI APPLICABLE</t>
  </si>
  <si>
    <t>WAF No. 1</t>
  </si>
  <si>
    <t>WAF No. __</t>
  </si>
  <si>
    <t>WORKS AUTHORISATION FORMS (NOT REFLECTED IN PRICING SCHEDULE) - CPI NOT APPLICABLE</t>
  </si>
  <si>
    <t>WAF No. ___</t>
  </si>
  <si>
    <t>LAST CERTIFICATE NUMBER</t>
  </si>
  <si>
    <t>THIS CERTIFICATE NUMBER</t>
  </si>
  <si>
    <t>CERTIFCATE</t>
  </si>
  <si>
    <t>From Page:</t>
  </si>
  <si>
    <t>Therefore Retention Limit of:</t>
  </si>
  <si>
    <t>Pg 1 Payment</t>
  </si>
  <si>
    <t>K8</t>
  </si>
  <si>
    <t>Pg 2 Sum Sch</t>
  </si>
  <si>
    <t>NEXT CERTIFICATE NUMBER</t>
  </si>
  <si>
    <t>Tender Close</t>
  </si>
  <si>
    <t>Sub-Total 2017/2018</t>
  </si>
  <si>
    <t>Sub-Total 2018/2019</t>
  </si>
  <si>
    <t>Sub-Total 2019/2020</t>
  </si>
  <si>
    <t>Sub-Total 2020/2021</t>
  </si>
  <si>
    <t>Sub-Total 2021/2022</t>
  </si>
  <si>
    <t>Sub-Total 2022/2023</t>
  </si>
  <si>
    <t>Sub-Total 2023/2024</t>
  </si>
  <si>
    <t>Sub-Total 2024/2025</t>
  </si>
  <si>
    <t>Sub-Total 2025/2026</t>
  </si>
  <si>
    <t>Sub-Total 2026/2027</t>
  </si>
  <si>
    <t>Sub-Total 2027/2028</t>
  </si>
  <si>
    <t>Sub-Total 2028/2029</t>
  </si>
  <si>
    <t>Sub-Total 2029/2030</t>
  </si>
  <si>
    <t>Sub-Total 2030/2031</t>
  </si>
  <si>
    <t>Sub-Total 2031/2032</t>
  </si>
  <si>
    <t>Sub-Total 2032/2033</t>
  </si>
  <si>
    <t>Sub-Total 2033/2034</t>
  </si>
  <si>
    <t>SUMMARY PAGE 1 (b)</t>
  </si>
  <si>
    <t>SUMMARY PAGE 1 (a)</t>
  </si>
  <si>
    <t>Brought Forward</t>
  </si>
  <si>
    <t>k32</t>
  </si>
  <si>
    <t>H22</t>
  </si>
  <si>
    <t>J22</t>
  </si>
  <si>
    <t>H27</t>
  </si>
  <si>
    <t>I27</t>
  </si>
  <si>
    <t>DATE INPUT=</t>
  </si>
  <si>
    <t>DATE USED =</t>
  </si>
  <si>
    <t>H9</t>
  </si>
  <si>
    <t>H10</t>
  </si>
  <si>
    <t>H12</t>
  </si>
  <si>
    <t>H13</t>
  </si>
  <si>
    <t>H15</t>
  </si>
  <si>
    <t>ORIG PROV OR PC SUM</t>
  </si>
  <si>
    <t>H11</t>
  </si>
  <si>
    <t>H14</t>
  </si>
  <si>
    <t>H18</t>
  </si>
  <si>
    <t>H20</t>
  </si>
  <si>
    <t>H23</t>
  </si>
  <si>
    <t>H30</t>
  </si>
  <si>
    <t>H31</t>
  </si>
  <si>
    <t>H40</t>
  </si>
  <si>
    <t>H41</t>
  </si>
  <si>
    <t>H42</t>
  </si>
  <si>
    <r>
      <t xml:space="preserve">  </t>
    </r>
    <r>
      <rPr>
        <b/>
        <sz val="10"/>
        <rFont val="Arial"/>
        <family val="2"/>
      </rPr>
      <t xml:space="preserve">REGION: </t>
    </r>
  </si>
  <si>
    <r>
      <t xml:space="preserve">  </t>
    </r>
    <r>
      <rPr>
        <b/>
        <sz val="10"/>
        <rFont val="Arial"/>
        <family val="2"/>
      </rPr>
      <t>REGION:</t>
    </r>
  </si>
  <si>
    <t>H19</t>
  </si>
  <si>
    <t>H32</t>
  </si>
  <si>
    <t>green cells to be input by the preffered service provider during project</t>
  </si>
  <si>
    <t>Carried forward to Page 4.4</t>
  </si>
  <si>
    <t>Carried forward to Page 4.5</t>
  </si>
  <si>
    <t>PAGE 4.5</t>
  </si>
  <si>
    <t>Brought forward from Page 4.4</t>
  </si>
  <si>
    <t>H26</t>
  </si>
  <si>
    <t>%</t>
  </si>
  <si>
    <t>SUMMARY OF KEY PERSONS</t>
  </si>
  <si>
    <t>NRA.N.xxx-xxx-20xx/1</t>
  </si>
  <si>
    <t>Designation</t>
  </si>
  <si>
    <t>I34</t>
  </si>
  <si>
    <t>I36</t>
  </si>
  <si>
    <t>WAF</t>
  </si>
  <si>
    <t>Pg 1</t>
  </si>
  <si>
    <t>PEN</t>
  </si>
  <si>
    <t>Penalties</t>
  </si>
  <si>
    <t>Pg1</t>
  </si>
  <si>
    <t>RET</t>
  </si>
  <si>
    <t>k38</t>
  </si>
  <si>
    <t>Number</t>
  </si>
  <si>
    <t>H17</t>
  </si>
  <si>
    <t>To be updated monthly (DO NOT RUN THE MACRO FOR THE FIRST FEE CLAIM - RESAVE AND RUN MACRO FOR FEE CLAIM 2 AND ONWARDS)</t>
  </si>
  <si>
    <t xml:space="preserve">Original Est.
 (Excl. VAT) = </t>
  </si>
  <si>
    <t>Other</t>
  </si>
  <si>
    <t>(c) Toll fees</t>
  </si>
  <si>
    <t>Reduce Retention • 60% on receipt of approved draft Contract Report and As-built material records and drawings within 3 (three) months of issue of the Taking-over Certificates of the Works Contract.</t>
  </si>
  <si>
    <t>Tax Rate:</t>
  </si>
  <si>
    <t>Project Liaison Committee (PLC)</t>
  </si>
  <si>
    <t>CONTRACT:</t>
  </si>
  <si>
    <t>C2.2</t>
  </si>
  <si>
    <t>PRICING SCHEDULE  (Incorporating SBD3)</t>
  </si>
  <si>
    <t>Item</t>
  </si>
  <si>
    <t>Total  (R)</t>
  </si>
  <si>
    <t>DETAILED ASSESSMENT PHASE</t>
  </si>
  <si>
    <t>Detailed assessment phase:</t>
  </si>
  <si>
    <t>(b) Travel and subsistence cost</t>
  </si>
  <si>
    <t>Prime Cost</t>
  </si>
  <si>
    <t>TOTAL  CARRIED  FORWARD  TO  SUMMARY</t>
  </si>
  <si>
    <t>Tender Documentation:</t>
  </si>
  <si>
    <t>SITE INSPECTION AND TENDER PERIOD</t>
  </si>
  <si>
    <t>Site inspection and Tender period</t>
  </si>
  <si>
    <t>(a)   Service Providers’ Cost</t>
  </si>
  <si>
    <t>(c)   Handling cost i.r.o. item 34.01(b)</t>
  </si>
  <si>
    <t>Tender Evaluation Report</t>
  </si>
  <si>
    <t>(b)   Disbursements</t>
  </si>
  <si>
    <t>Preparation of Works contract documents</t>
  </si>
  <si>
    <t>ADMINISTRATION &amp; MONITORING OF WORKS CONTRACT</t>
  </si>
  <si>
    <t>Engineer and Head Office</t>
  </si>
  <si>
    <t>(b)   Head Office overhead costs</t>
  </si>
  <si>
    <t>(c)   Occupational Health and Safety obligations:</t>
  </si>
  <si>
    <t xml:space="preserve">     (i)  Continuous compliance and monthly internal audits</t>
  </si>
  <si>
    <t xml:space="preserve">      (ii) External audits</t>
  </si>
  <si>
    <t>Prime cost</t>
  </si>
  <si>
    <t xml:space="preserve">      (iii) Handling costs i.r.o. sub-item 35.01(c)(ii)</t>
  </si>
  <si>
    <r>
      <t>(d)</t>
    </r>
    <r>
      <rPr>
        <sz val="7"/>
        <color rgb="FF000000"/>
        <rFont val="Times New Roman"/>
        <family val="1"/>
      </rPr>
      <t xml:space="preserve">   </t>
    </r>
    <r>
      <rPr>
        <sz val="10"/>
        <color rgb="FF000000"/>
        <rFont val="Arial"/>
        <family val="2"/>
      </rPr>
      <t>Training of Assistant Contract Engineer:</t>
    </r>
  </si>
  <si>
    <t xml:space="preserve">     (i)  Training by Contract Engineer</t>
  </si>
  <si>
    <t>Prov. Sum</t>
  </si>
  <si>
    <t>Establishment of Supervisory team on site</t>
  </si>
  <si>
    <t>(a)   Relocation cost of individual site personnel</t>
  </si>
  <si>
    <t>(b)   Handling cost i.r.o. sub-item 35.02(a)</t>
  </si>
  <si>
    <t>(c)   Establishment of office equipment</t>
  </si>
  <si>
    <t>(a)   Site Supervision Staff</t>
  </si>
  <si>
    <t>(b)   Mark-up i.r.o. sub-item 35.03(a)</t>
  </si>
  <si>
    <t>(c)   Project Liaison Officer</t>
  </si>
  <si>
    <t>(d)   Handling cost i.r.o. sub-item 35.03(c)</t>
  </si>
  <si>
    <t>(e)   Accommodation</t>
  </si>
  <si>
    <t>(f)    Mark-up i.r.o. sub-item 35.03(e)</t>
  </si>
  <si>
    <t>(g)   Provision and monthly cost of office equipment</t>
  </si>
  <si>
    <t>(h)   Trainee</t>
  </si>
  <si>
    <t>(i)    Handling cost i.r.o. sub-item 35.03(h)</t>
  </si>
  <si>
    <t>Transport for site personnel and additional duties</t>
  </si>
  <si>
    <t>(a)   Travelling to perform duties</t>
  </si>
  <si>
    <t>(b)   Handling cost i.r.o. item 35.04(a)</t>
  </si>
  <si>
    <t>(c)   Toll fees</t>
  </si>
  <si>
    <t>Assistance at Clarification Meeting, Tender Period and Tender Evaluation of sub-contract packages</t>
  </si>
  <si>
    <t>(a)   Service Provider’s cost</t>
  </si>
  <si>
    <t>(b)   Tender Evaluation</t>
  </si>
  <si>
    <t>(c)   Evaluation Report</t>
  </si>
  <si>
    <t xml:space="preserve"> Reporting of structures safety inspections</t>
  </si>
  <si>
    <t>ADDITIONAL DUTIES</t>
  </si>
  <si>
    <t>(a)   Personnel – Category A</t>
  </si>
  <si>
    <t>(b)   Personnel – Category B</t>
  </si>
  <si>
    <t>(c)   Personnel – Category C</t>
  </si>
  <si>
    <t>(d)   Personnel – Category D</t>
  </si>
  <si>
    <t>Additional duties by Employer</t>
  </si>
  <si>
    <t>-</t>
  </si>
  <si>
    <t>Rate only</t>
  </si>
  <si>
    <t>(a)   Disbursements</t>
  </si>
  <si>
    <t>(b)   Handling cost i.r.o. item 36.03(a)</t>
  </si>
  <si>
    <t>Additional duties by sub-service provider</t>
  </si>
  <si>
    <t>(a)   Additional duties</t>
  </si>
  <si>
    <t>(b)   Handling cost i.r.o. item 36.04(a)</t>
  </si>
  <si>
    <t>Payment and Monthly reporting costs</t>
  </si>
  <si>
    <t>(a)   Establishment of PLC</t>
  </si>
  <si>
    <t>Lump sum</t>
  </si>
  <si>
    <t>(b)   Liaison/meetings with the PLC during Design and Construction Phase</t>
  </si>
  <si>
    <t>(c)   PLC stipend</t>
  </si>
  <si>
    <t>(d)   Handling cost i.r.o. item 36.06(c)</t>
  </si>
  <si>
    <t>(e)  Training of PLC members</t>
  </si>
  <si>
    <t>(f)   Handling cost i.r.o. item 36.06(e)</t>
  </si>
  <si>
    <t>Market Analysis and Databases</t>
  </si>
  <si>
    <t>(a)   Market Analysis</t>
  </si>
  <si>
    <t>(b)   Establishment and maintenance of Targeted Enterprise database</t>
  </si>
  <si>
    <t>(c)   Establishment and maintenance of a Targeted Labour database</t>
  </si>
  <si>
    <t>OFF-SITE MATERIALS TESTING</t>
  </si>
  <si>
    <t>Off-site materials testing</t>
  </si>
  <si>
    <t>(a)   Off-site testing by an external SANAS accredited laboratory</t>
  </si>
  <si>
    <t>(b)   Handling cost i.r.o. item 37.01(a)</t>
  </si>
  <si>
    <t>C2.3</t>
  </si>
  <si>
    <t>SUMMARY OF PRICING SCHEDULE</t>
  </si>
  <si>
    <t>TENDER SUM CARRIED FORWARD TO FORM OF OFFER (C1.1.1)</t>
  </si>
  <si>
    <t>PROJECT DESCRIPTION:</t>
  </si>
  <si>
    <t>PROJECT NUMBER:</t>
  </si>
  <si>
    <t>CONSULTANT COMPANY NAME:</t>
  </si>
  <si>
    <t>VAT %:</t>
  </si>
  <si>
    <t>TENDER CLOSING DATE:</t>
  </si>
  <si>
    <t>TENDERED BUDGET:</t>
  </si>
  <si>
    <t>CONTRACT AWARD DATE:</t>
  </si>
  <si>
    <t>CONSTRUCTION COST ESTIMATE (INCL VAT):</t>
  </si>
  <si>
    <r>
      <t xml:space="preserve">  </t>
    </r>
    <r>
      <rPr>
        <b/>
        <sz val="10"/>
        <rFont val="Arial"/>
        <family val="2"/>
      </rPr>
      <t>SOUTH AFRICAN NATIONAL ROADS AGENCY SOC LIMITED</t>
    </r>
  </si>
  <si>
    <r>
      <t xml:space="preserve">  </t>
    </r>
    <r>
      <rPr>
        <b/>
        <sz val="9"/>
        <rFont val="Arial"/>
        <family val="2"/>
      </rPr>
      <t>SOUTH AFRICAN NATIONAL ROADS AGENCY SOC LIMITED</t>
    </r>
  </si>
  <si>
    <t>C {type of additional duties}</t>
  </si>
  <si>
    <t>RETENTION AMOUNT LIMIT (EXCL. VAT):</t>
  </si>
  <si>
    <t>H24</t>
  </si>
  <si>
    <t>Reduce Retention • 100% on receipt of approved final copies of the Contract Report and As-built material records and drawings within 1 (one) month of the issue of the Performance Certificate for the Works Contract.</t>
  </si>
  <si>
    <t>Notes on completion on Fee Claims</t>
  </si>
  <si>
    <t>(b)   Provision for venue and bus</t>
  </si>
  <si>
    <t>NOTE: CPI AS PER STATS SA CONSUMER PRICE INDEX: TABLE B1</t>
  </si>
  <si>
    <t>PROJECT INPUT DATA</t>
  </si>
  <si>
    <t>TENDERER COMPANY NAME:</t>
  </si>
  <si>
    <t>Contract No:</t>
  </si>
  <si>
    <t>Description:</t>
  </si>
  <si>
    <t>TENDERER INPUT DATA</t>
  </si>
  <si>
    <t>NOTE: ONLY INITIAL KEY PERSONS HOURS WILL BE CAPTURED AS HOURS FOR ALTERNATE KEY PERSONS WILL INHERIT THE HOURS SHOULD THEY NEED TO REPLACE THE ORIGINAL KEY PERSON DUE TO OVER-COMMITMENT.</t>
  </si>
  <si>
    <t>SERVICE PROVIDER TO COMPLETE ALL CELLS HIGHLIGHTED IN YELLOW</t>
  </si>
  <si>
    <t>* Rates Effective date April 2019</t>
  </si>
  <si>
    <t>Tax Rate (VAT):</t>
  </si>
  <si>
    <t xml:space="preserve">35.04 (a)Transport for site supervisory staff - Kilometer per month limit </t>
  </si>
  <si>
    <t>ORIGINAL TENDER</t>
  </si>
  <si>
    <t>ADDENDUM 1</t>
  </si>
  <si>
    <t>ADDENDUM 2</t>
  </si>
  <si>
    <t>ADDENDUM 3</t>
  </si>
  <si>
    <t>ADDENDUM 4</t>
  </si>
  <si>
    <t>ADDENDUM 5</t>
  </si>
  <si>
    <t>ADDENDUM 6</t>
  </si>
  <si>
    <t>ADDENDUM 7</t>
  </si>
  <si>
    <t>ADDENDUM 8</t>
  </si>
  <si>
    <t>ADDENDUM 9</t>
  </si>
  <si>
    <t>ADDENDUM 10</t>
  </si>
  <si>
    <t>(b)   Tender Documents in electronic format</t>
  </si>
  <si>
    <t>(a)   Tender Evaluation and Report</t>
  </si>
  <si>
    <t>TENDERER NAME:</t>
  </si>
  <si>
    <r>
      <rPr>
        <b/>
        <sz val="10"/>
        <rFont val="Arial"/>
        <family val="2"/>
      </rPr>
      <t>Note to tenderer:</t>
    </r>
    <r>
      <rPr>
        <sz val="10"/>
        <rFont val="Arial"/>
        <family val="2"/>
      </rPr>
      <t xml:space="preserve">
The tenderer will be declared non-responsive if:
   *   A signed Form of Offer is submitted with an incomplete Pricing Schedule.
   *   A signed Form of Offer is submitted without a Pricing Schedule, but only the Summary of Pricing Schedule submitted.</t>
    </r>
  </si>
  <si>
    <r>
      <t xml:space="preserve">(e)   Extra over items 35.01(a), (b) and (c)(i) for additional roads  </t>
    </r>
    <r>
      <rPr>
        <i/>
        <sz val="10"/>
        <color rgb="FF000000"/>
        <rFont val="Arial"/>
        <family val="2"/>
      </rPr>
      <t>(Note to compiler:  Make Quantity zero if additional roads are not known/required)</t>
    </r>
  </si>
  <si>
    <t>(a) (i)  Cost to fulfil the duties of Engineer</t>
  </si>
  <si>
    <t>(a) (ii)  Disbursements</t>
  </si>
  <si>
    <t>Amount (R)</t>
  </si>
  <si>
    <t>CE fee items; all appropriate stages</t>
  </si>
  <si>
    <t>35.01 (a) (i)</t>
  </si>
  <si>
    <t>Cost to fulfil the duties of Engineer</t>
  </si>
  <si>
    <t>LUMP SUM</t>
  </si>
  <si>
    <t xml:space="preserve">    (1)  Category A</t>
  </si>
  <si>
    <t>hour</t>
  </si>
  <si>
    <t xml:space="preserve">    (2)  Category B</t>
  </si>
  <si>
    <t xml:space="preserve">    (3)  Category C</t>
  </si>
  <si>
    <t xml:space="preserve">    (4)  Category D</t>
  </si>
  <si>
    <t>TOTAL NORMALISED HOURS</t>
  </si>
  <si>
    <t>Number of Months of Contract</t>
  </si>
  <si>
    <t>COST PER MONTH OF CE FOR ITEM 35.01(a) (i)</t>
  </si>
  <si>
    <t>ONLY INSERT CE KEY PERSON HOURS, NOT ALTERNATIVES.</t>
  </si>
  <si>
    <t>Contract Supervision Period (Months)</t>
  </si>
  <si>
    <t>Routine Maintenance and Slope Management System</t>
  </si>
  <si>
    <t>(a) Incident response</t>
  </si>
  <si>
    <t xml:space="preserve">     (i) Level 1 incident</t>
  </si>
  <si>
    <t xml:space="preserve">     (ii) Level 2 incident</t>
  </si>
  <si>
    <t xml:space="preserve">     (iii) Level 3 incident</t>
  </si>
  <si>
    <t xml:space="preserve">     (iv) Level 4 incident</t>
  </si>
  <si>
    <t>(b) Post-rain or seismic event inspection</t>
  </si>
  <si>
    <t>(c) Routine Maintenance Inspections</t>
  </si>
  <si>
    <t>(d) Continuous monitoring</t>
  </si>
  <si>
    <t>(e) Reporting and record keeping costs</t>
  </si>
  <si>
    <t>Prime Cost (PC) and Provisional Sum (PS) sub-total</t>
  </si>
  <si>
    <t>Handling Costs &amp; Mark-Up Costs on Prime Cost (PC) and Provisional Sum (PS) sub-total</t>
  </si>
  <si>
    <t>Prime Cost (PC) and Provisional Sum (PS) sub-total including Handling &amp; Mark-Up Costs</t>
  </si>
  <si>
    <t>FORM C2.4:   KEY PERSONS FOR THIS PROJECT AND SUMMARY OF NORMALIZED HOURS TENDERED</t>
  </si>
  <si>
    <t>SERVICE     PROVIDER</t>
  </si>
  <si>
    <t>TOTAL HOURS TENDERED FOR THE SERVICE PROVIDER (ALL CATEGORIES)</t>
  </si>
  <si>
    <t>TOTAL ALL NORMALISED HOURS</t>
  </si>
  <si>
    <t>Key Persons Listed for this Project</t>
  </si>
  <si>
    <t>SUMMARY OF ALL KEY PERSONS NORMALISED HOURS</t>
  </si>
  <si>
    <t>NHT</t>
  </si>
  <si>
    <t>% of Total Hours</t>
  </si>
  <si>
    <t>% of Key Persons Hours Only</t>
  </si>
  <si>
    <t>POSITION</t>
  </si>
  <si>
    <t>NAME</t>
  </si>
  <si>
    <t>TOTAL KEY PERSONS NORMALISED HOURS ONLY</t>
  </si>
  <si>
    <t>WESTERN</t>
  </si>
  <si>
    <t>Routine Road Maintenance</t>
  </si>
  <si>
    <t>Total Travel For Site Personnel to calculate into Pricing Schedule item 35.04 (a)</t>
  </si>
  <si>
    <t>EMPLOYEE SIGNATURE :</t>
  </si>
  <si>
    <t>EMPLOYER SIGNATURE :</t>
  </si>
  <si>
    <t>H28</t>
  </si>
  <si>
    <t>H33</t>
  </si>
  <si>
    <t>H36</t>
  </si>
  <si>
    <t>H38</t>
  </si>
  <si>
    <t>H43</t>
  </si>
  <si>
    <t>H46</t>
  </si>
  <si>
    <t>H47</t>
  </si>
  <si>
    <t>H48</t>
  </si>
  <si>
    <t>H49</t>
  </si>
  <si>
    <t>H50</t>
  </si>
  <si>
    <t>H51</t>
  </si>
  <si>
    <t>H52</t>
  </si>
  <si>
    <t>H53</t>
  </si>
  <si>
    <t>NO INPUT REQUIRED ON THIS SHEET  - DO NOT DELETE OR ALTER AS IT IS REQUIRED FOR FEE CLAIM SETUP</t>
  </si>
  <si>
    <t>OFFICE USE ONLY - TAB TO BE USED FOR FEE CLAIM SETUP</t>
  </si>
  <si>
    <t>SANRAL OFFICE TO COMPLETE ALL CELLS HIGHLIGHTED IN BLUE BEOFRE TENDER IS LET</t>
  </si>
  <si>
    <t>Deduct: Provisional Sums and PC Sums and Mark-up Items</t>
  </si>
  <si>
    <t>OTHER</t>
  </si>
  <si>
    <t>NO NAMES REQUIRED</t>
  </si>
  <si>
    <t>Personnel associated with fulfilling the duties of the Engineer</t>
  </si>
  <si>
    <t>TOTAL SUM VALUE OF NORMALIZED HOURS:</t>
  </si>
  <si>
    <t>83% SPLIT FOR OMW:</t>
  </si>
  <si>
    <t>(e)   Emergency</t>
  </si>
  <si>
    <t>CLOSE OUT</t>
  </si>
  <si>
    <t>Close Out</t>
  </si>
  <si>
    <t>(a) Road works</t>
  </si>
  <si>
    <t xml:space="preserve">     (i) Fee (based on Hours tendered for stage)</t>
  </si>
  <si>
    <t>CE &amp; OTHER HOURS</t>
  </si>
  <si>
    <t>DIFF:</t>
  </si>
  <si>
    <t>H16</t>
  </si>
  <si>
    <t>H21</t>
  </si>
  <si>
    <t>H25</t>
  </si>
  <si>
    <t>PROVINCE:</t>
  </si>
  <si>
    <t>GRAVEL ROAD ITEMS  INCLUDED</t>
  </si>
  <si>
    <t>Environmental  Services</t>
  </si>
  <si>
    <t>(a) Environmental services during design stage</t>
  </si>
  <si>
    <t>(b) Cost for procuring and managing sub-service provider under sub-item 32.03 (a)</t>
  </si>
  <si>
    <t>Investigation and sampling for roadbed, borrow pits, quarries, structure founding materials and other areas, e.g. Cuttings</t>
  </si>
  <si>
    <r>
      <t>(a)</t>
    </r>
    <r>
      <rPr>
        <sz val="7"/>
        <color theme="1"/>
        <rFont val="Times New Roman"/>
        <family val="1"/>
      </rPr>
      <t xml:space="preserve">   </t>
    </r>
    <r>
      <rPr>
        <sz val="10"/>
        <color theme="1"/>
        <rFont val="Arial"/>
        <family val="2"/>
      </rPr>
      <t>Establishment of personnel and equipment for test pitting</t>
    </r>
  </si>
  <si>
    <r>
      <t>(b)</t>
    </r>
    <r>
      <rPr>
        <sz val="7"/>
        <color theme="1"/>
        <rFont val="Times New Roman"/>
        <family val="1"/>
      </rPr>
      <t xml:space="preserve">   </t>
    </r>
    <r>
      <rPr>
        <sz val="10"/>
        <color theme="1"/>
        <rFont val="Arial"/>
        <family val="2"/>
      </rPr>
      <t>Hire and operation of excavator</t>
    </r>
  </si>
  <si>
    <r>
      <t>(d)</t>
    </r>
    <r>
      <rPr>
        <sz val="7"/>
        <color theme="1"/>
        <rFont val="Times New Roman"/>
        <family val="1"/>
      </rPr>
      <t xml:space="preserve">   </t>
    </r>
    <r>
      <rPr>
        <sz val="10"/>
        <color theme="1"/>
        <rFont val="Arial"/>
        <family val="2"/>
      </rPr>
      <t>Test pit excavation by hand</t>
    </r>
  </si>
  <si>
    <t>number (No)</t>
  </si>
  <si>
    <r>
      <t>(e)</t>
    </r>
    <r>
      <rPr>
        <sz val="7"/>
        <color theme="1"/>
        <rFont val="Times New Roman"/>
        <family val="1"/>
      </rPr>
      <t xml:space="preserve">   </t>
    </r>
    <r>
      <rPr>
        <sz val="10"/>
        <color theme="1"/>
        <rFont val="Arial"/>
        <family val="2"/>
      </rPr>
      <t>Sampling and profiling of test pits</t>
    </r>
  </si>
  <si>
    <r>
      <t>(f)</t>
    </r>
    <r>
      <rPr>
        <sz val="7"/>
        <color theme="1"/>
        <rFont val="Times New Roman"/>
        <family val="1"/>
      </rPr>
      <t xml:space="preserve">    </t>
    </r>
    <r>
      <rPr>
        <sz val="10"/>
        <color theme="1"/>
        <rFont val="Arial"/>
        <family val="2"/>
      </rPr>
      <t>DCP</t>
    </r>
  </si>
  <si>
    <r>
      <t>(g)</t>
    </r>
    <r>
      <rPr>
        <sz val="7"/>
        <color theme="1"/>
        <rFont val="Times New Roman"/>
        <family val="1"/>
      </rPr>
      <t xml:space="preserve">   </t>
    </r>
    <r>
      <rPr>
        <sz val="10"/>
        <color theme="1"/>
        <rFont val="Arial"/>
        <family val="2"/>
      </rPr>
      <t>Transport of samples to laboratory</t>
    </r>
  </si>
  <si>
    <t xml:space="preserve">  (i) Large bags</t>
  </si>
  <si>
    <t xml:space="preserve">  (ii) Small bags</t>
  </si>
  <si>
    <r>
      <t>(c)</t>
    </r>
    <r>
      <rPr>
        <sz val="7"/>
        <color theme="1"/>
        <rFont val="Times New Roman"/>
        <family val="1"/>
      </rPr>
      <t xml:space="preserve">   </t>
    </r>
    <r>
      <rPr>
        <sz val="10"/>
        <color theme="1"/>
        <rFont val="Arial"/>
        <family val="2"/>
      </rPr>
      <t>Handling costs in respect of 32.04 (b)</t>
    </r>
  </si>
  <si>
    <t>32.01 (a) Road Condition Report (7.5%)</t>
  </si>
  <si>
    <t>33.01 (a) Preparation of Tender Documents  (7.5%)</t>
  </si>
  <si>
    <t>2% SPLIT FOR CLOSE OUT:</t>
  </si>
  <si>
    <t>(a) Road Condition Report Fee (based on Hours tendered for stage)</t>
  </si>
  <si>
    <t>(a)   Preparation of Tender Documents Fee (based on Hours tendered for stage)</t>
  </si>
  <si>
    <t>Type of Service</t>
  </si>
  <si>
    <t>Detailed Assessment (DA)</t>
  </si>
  <si>
    <t>Administration &amp; Monitoring of works contract (AMW)</t>
  </si>
  <si>
    <t>(CO)</t>
  </si>
  <si>
    <t>DA, AMW &amp; CO</t>
  </si>
  <si>
    <t>Subtotal item with all prov sums/PC sums &amp; Mark-up removed  -  % of which amount  would need to be sublet?</t>
  </si>
  <si>
    <r>
      <t>CATEGORY 1</t>
    </r>
    <r>
      <rPr>
        <sz val="9"/>
        <color rgb="FF000000"/>
        <rFont val="Arial"/>
        <family val="2"/>
      </rPr>
      <t> </t>
    </r>
  </si>
  <si>
    <r>
      <t>CATEGORY 2</t>
    </r>
    <r>
      <rPr>
        <sz val="9"/>
        <color rgb="FF000000"/>
        <rFont val="Arial"/>
        <family val="2"/>
      </rPr>
      <t> </t>
    </r>
  </si>
  <si>
    <r>
      <t>CATEGORY 3</t>
    </r>
    <r>
      <rPr>
        <sz val="9"/>
        <color rgb="FF000000"/>
        <rFont val="Arial"/>
        <family val="2"/>
      </rPr>
      <t> </t>
    </r>
  </si>
  <si>
    <r>
      <t>Contract Value</t>
    </r>
    <r>
      <rPr>
        <sz val="9"/>
        <color rgb="FF000000"/>
        <rFont val="Arial"/>
        <family val="2"/>
      </rPr>
      <t> </t>
    </r>
  </si>
  <si>
    <r>
      <t>&lt; R6M</t>
    </r>
    <r>
      <rPr>
        <sz val="9"/>
        <color rgb="FF000000"/>
        <rFont val="Arial"/>
        <family val="2"/>
      </rPr>
      <t> </t>
    </r>
  </si>
  <si>
    <r>
      <t>R6m &lt; R25M</t>
    </r>
    <r>
      <rPr>
        <sz val="9"/>
        <color rgb="FF000000"/>
        <rFont val="Arial"/>
        <family val="2"/>
      </rPr>
      <t> </t>
    </r>
  </si>
  <si>
    <r>
      <t>&gt; R25M</t>
    </r>
    <r>
      <rPr>
        <sz val="9"/>
        <color rgb="FF000000"/>
        <rFont val="Arial"/>
        <family val="2"/>
      </rPr>
      <t> </t>
    </r>
  </si>
  <si>
    <r>
      <t>PREFERENTIAL SUBCONTRACTING REQUIREMENTS</t>
    </r>
    <r>
      <rPr>
        <sz val="9"/>
        <color rgb="FF000000"/>
        <rFont val="Arial"/>
        <family val="2"/>
      </rPr>
      <t> </t>
    </r>
  </si>
  <si>
    <t>The following subcontracting provisions may apply: </t>
  </si>
  <si>
    <t>Engineering consultants: RRM Projects</t>
  </si>
  <si>
    <t>* No subcontracting requirements for EME’s </t>
  </si>
  <si>
    <t>* Minimum 30% subcontracting provision applies to QSE’s and Generics </t>
  </si>
  <si>
    <t>Please Select</t>
  </si>
  <si>
    <t xml:space="preserve">Bidder's Category Classification: </t>
  </si>
  <si>
    <t>NOTE TO TENDERER: 
THIS FORM IS TO BE COMPLETED, PRINTED AND INCLUDED IN THE TENDERER'S PROPOSAL AS A PDF COPY AS WELL AS THE EXTRACTED PART OF THE C2.4 IN THE EXCEL TECHNICAL SUBMISSION. FAILURE TO FULLY COMPLETE AND INCLUDE THIS INFORMATION IN THE TECHNICAL SPREADSHEET SHALL RESULT IN THE TENDERER SCORING ZERO POINTS FOR WORKPLAN APPROPRIATENESS.
IF THE ELECTRONIC VERSION ATTACHED TO THE PRICING SCHEDULE SUBMITTED WITH THE FINANCIALS DOES NOT MATCH THE PDF COPY SUBMITTED OR THE VALUES ENTERED INTO THE EXTRACTED C2.4 FORM IN THE TECHNICAL  EXCEL SUBMISSION SPREADSHEET, THE TENDERER OFFER WILL BE REJECTED.</t>
  </si>
  <si>
    <r>
      <t>CONTRACT VALUE (INCLUDING VAT) INCLUDES PROVISIONAL SUMS</t>
    </r>
    <r>
      <rPr>
        <sz val="9"/>
        <color rgb="FF000000"/>
        <rFont val="Arial"/>
        <family val="2"/>
      </rPr>
      <t> </t>
    </r>
  </si>
  <si>
    <t>Category:</t>
  </si>
  <si>
    <t>Minimum 30% subcontracting provision applies to EME, QSE and Generics</t>
  </si>
  <si>
    <t>Incl. Vat</t>
  </si>
  <si>
    <t>CATEGORY:</t>
  </si>
  <si>
    <t>FINAL TENDER VALUE:</t>
  </si>
  <si>
    <t>X.002-180-2024/1RF</t>
  </si>
  <si>
    <t>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t>
  </si>
  <si>
    <t>30/09/2026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</si>
</sst>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_(* \(#,##0.00\);_(* &quot;-&quot;??_);_(@_)"/>
    <numFmt numFmtId="164" formatCode="_-* #,##0.00_-;\-* #,##0.00_-;_-* &quot;-&quot;??_-;_-@_-"/>
    <numFmt numFmtId="165" formatCode="&quot;R&quot;\ #,##0.00;&quot;R&quot;\ \-#,##0.00"/>
    <numFmt numFmtId="166" formatCode="_ &quot;R&quot;\ * #,##0.00_ ;_ &quot;R&quot;\ * \-#,##0.00_ ;_ &quot;R&quot;\ * &quot;-&quot;??_ ;_ @_ "/>
    <numFmt numFmtId="167" formatCode="_ * #,##0.00_ ;_ * \-#,##0.00_ ;_ * &quot;-&quot;??_ ;_ @_ "/>
    <numFmt numFmtId="168" formatCode="0.0%"/>
    <numFmt numFmtId="169" formatCode="&quot;R&quot;\ #,##0.00"/>
    <numFmt numFmtId="170" formatCode="0.0"/>
    <numFmt numFmtId="171" formatCode="yy/mm/dd;@"/>
    <numFmt numFmtId="172" formatCode="_ [$R-1C09]\ * #,##0.00_ ;_ [$R-1C09]\ * \-#,##0.00_ ;_ [$R-1C09]\ * &quot;-&quot;??_ ;_ @_ "/>
    <numFmt numFmtId="173" formatCode="[$-1C09]dd\ mmmm\ yyyy;@"/>
    <numFmt numFmtId="174" formatCode="[$R-1C09]\ #,##0.00"/>
    <numFmt numFmtId="175" formatCode="[$R-1C09]\ #,##0.00;[Red][$R-1C09]\ #,##0.00"/>
    <numFmt numFmtId="176" formatCode="_(&quot;R&quot;* #,##0.00_);_(&quot;R&quot;* \(#,##0.00\);_(&quot;R&quot;* &quot;-&quot;??_);_(@_)"/>
    <numFmt numFmtId="177" formatCode="[$R-436]\ #,##0.00"/>
    <numFmt numFmtId="178" formatCode="[$R-436]\ #,##0.00;[$R-436]\ \-#,##0.00"/>
    <numFmt numFmtId="179" formatCode="#\ ###\ ##0.00"/>
    <numFmt numFmtId="180" formatCode="#,##0.000000"/>
    <numFmt numFmtId="181" formatCode="#,###,##0.00"/>
    <numFmt numFmtId="182" formatCode="0.0000"/>
    <numFmt numFmtId="183" formatCode="#,###"/>
    <numFmt numFmtId="184" formatCode="#\ \ ###\ ##0.00"/>
    <numFmt numFmtId="185" formatCode="#,###,###.00"/>
    <numFmt numFmtId="186" formatCode="#\ ###.00"/>
    <numFmt numFmtId="187" formatCode="mmmm\ yyyy"/>
    <numFmt numFmtId="188" formatCode="mmm\ yyyy"/>
    <numFmt numFmtId="189" formatCode="&quot;R&quot;#,##0.00"/>
    <numFmt numFmtId="190" formatCode="_ &quot;R&quot;\ * #,##0_ ;_ &quot;R&quot;\ * \-#,##0_ ;_ &quot;R&quot;\ * &quot;-&quot;??_ ;_ @_ "/>
    <numFmt numFmtId="191" formatCode="#,##0.000"/>
  </numFmts>
  <fonts count="65">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u/>
      <sz val="24"/>
      <color theme="1"/>
      <name val="Calibri"/>
      <family val="2"/>
      <scheme val="minor"/>
    </font>
    <font>
      <sz val="10"/>
      <color theme="1"/>
      <name val="Arial"/>
      <family val="2"/>
    </font>
    <font>
      <b/>
      <sz val="10"/>
      <color theme="1"/>
      <name val="Arial"/>
      <family val="2"/>
    </font>
    <font>
      <sz val="12"/>
      <name val="Arial"/>
      <family val="2"/>
    </font>
    <font>
      <sz val="18"/>
      <color theme="1"/>
      <name val="Calibri"/>
      <family val="2"/>
      <scheme val="minor"/>
    </font>
    <font>
      <sz val="14"/>
      <color theme="1"/>
      <name val="Calibri"/>
      <family val="2"/>
      <scheme val="minor"/>
    </font>
    <font>
      <sz val="10"/>
      <color rgb="FF000000"/>
      <name val="Arial"/>
      <family val="2"/>
    </font>
    <font>
      <sz val="11"/>
      <name val="Arial"/>
      <family val="2"/>
    </font>
    <font>
      <b/>
      <sz val="14"/>
      <name val="Arial"/>
      <family val="2"/>
    </font>
    <font>
      <b/>
      <sz val="11"/>
      <name val="Arial"/>
      <family val="2"/>
    </font>
    <font>
      <b/>
      <sz val="12"/>
      <color indexed="12"/>
      <name val="Arial"/>
      <family val="2"/>
    </font>
    <font>
      <b/>
      <sz val="16"/>
      <name val="Arial"/>
      <family val="2"/>
    </font>
    <font>
      <sz val="16"/>
      <name val="Arial"/>
      <family val="2"/>
    </font>
    <font>
      <sz val="14"/>
      <name val="Arial"/>
      <family val="2"/>
    </font>
    <font>
      <b/>
      <sz val="12"/>
      <color indexed="63"/>
      <name val="Arial"/>
      <family val="2"/>
    </font>
    <font>
      <b/>
      <sz val="12"/>
      <name val="Arial"/>
      <family val="2"/>
    </font>
    <font>
      <b/>
      <sz val="12"/>
      <color indexed="10"/>
      <name val="Arial"/>
      <family val="2"/>
    </font>
    <font>
      <b/>
      <sz val="11"/>
      <color indexed="12"/>
      <name val="Arial"/>
      <family val="2"/>
    </font>
    <font>
      <b/>
      <sz val="14"/>
      <color indexed="12"/>
      <name val="Arial"/>
      <family val="2"/>
    </font>
    <font>
      <b/>
      <sz val="10"/>
      <name val="Arial Narrow"/>
      <family val="2"/>
    </font>
    <font>
      <b/>
      <sz val="10"/>
      <color indexed="12"/>
      <name val="Arial"/>
      <family val="2"/>
    </font>
    <font>
      <sz val="9"/>
      <name val="Arial"/>
      <family val="2"/>
    </font>
    <font>
      <b/>
      <sz val="9"/>
      <name val="Arial"/>
      <family val="2"/>
    </font>
    <font>
      <b/>
      <i/>
      <sz val="10"/>
      <name val="Arial"/>
      <family val="2"/>
    </font>
    <font>
      <b/>
      <sz val="18"/>
      <name val="Arial"/>
      <family val="2"/>
    </font>
    <font>
      <sz val="11"/>
      <color theme="0"/>
      <name val="Arial"/>
      <family val="2"/>
    </font>
    <font>
      <sz val="7"/>
      <color rgb="FF000000"/>
      <name val="Times New Roman"/>
      <family val="1"/>
    </font>
    <font>
      <sz val="9"/>
      <color indexed="81"/>
      <name val="Tahoma"/>
      <family val="2"/>
    </font>
    <font>
      <sz val="11"/>
      <color rgb="FFFF0000"/>
      <name val="Arial"/>
      <family val="2"/>
    </font>
    <font>
      <b/>
      <i/>
      <sz val="11"/>
      <color theme="1"/>
      <name val="Calibri"/>
      <family val="2"/>
      <scheme val="minor"/>
    </font>
    <font>
      <b/>
      <sz val="12"/>
      <color rgb="FF000000"/>
      <name val="Arial"/>
      <family val="2"/>
    </font>
    <font>
      <sz val="11"/>
      <color theme="1"/>
      <name val="Arial"/>
      <family val="2"/>
    </font>
    <font>
      <sz val="11"/>
      <color theme="1" tint="4.9989318521683403E-2"/>
      <name val="Arial"/>
      <family val="2"/>
    </font>
    <font>
      <b/>
      <sz val="9"/>
      <color indexed="81"/>
      <name val="Tahoma"/>
      <family val="2"/>
    </font>
    <font>
      <b/>
      <sz val="10"/>
      <color rgb="FF000000"/>
      <name val="Arial"/>
      <family val="2"/>
    </font>
    <font>
      <i/>
      <sz val="10"/>
      <color rgb="FF000000"/>
      <name val="Arial"/>
      <family val="2"/>
    </font>
    <font>
      <sz val="12"/>
      <color theme="1"/>
      <name val="Calibri"/>
      <family val="2"/>
      <scheme val="minor"/>
    </font>
    <font>
      <sz val="16"/>
      <color theme="1"/>
      <name val="Calibri"/>
      <family val="2"/>
      <scheme val="minor"/>
    </font>
    <font>
      <b/>
      <sz val="10"/>
      <color rgb="FFFF0000"/>
      <name val="Arial"/>
      <family val="2"/>
    </font>
    <font>
      <b/>
      <sz val="20"/>
      <color rgb="FFFF0000"/>
      <name val="Calibri"/>
      <family val="2"/>
      <scheme val="minor"/>
    </font>
    <font>
      <b/>
      <sz val="12"/>
      <color theme="1"/>
      <name val="Calibri"/>
      <family val="2"/>
      <scheme val="minor"/>
    </font>
    <font>
      <b/>
      <sz val="14"/>
      <color rgb="FFFF0000"/>
      <name val="Calibri"/>
      <family val="2"/>
      <scheme val="minor"/>
    </font>
    <font>
      <sz val="14"/>
      <color rgb="FFFF0000"/>
      <name val="Calibri"/>
      <family val="2"/>
      <scheme val="minor"/>
    </font>
    <font>
      <sz val="8"/>
      <name val="Calibri"/>
      <family val="2"/>
      <scheme val="minor"/>
    </font>
    <font>
      <b/>
      <u/>
      <sz val="18"/>
      <color theme="1"/>
      <name val="Calibri"/>
      <family val="2"/>
      <scheme val="minor"/>
    </font>
    <font>
      <b/>
      <u/>
      <sz val="14"/>
      <color theme="1"/>
      <name val="Arial"/>
      <family val="2"/>
    </font>
    <font>
      <b/>
      <i/>
      <sz val="10"/>
      <color rgb="FFFF0000"/>
      <name val="Arial"/>
      <family val="2"/>
    </font>
    <font>
      <b/>
      <sz val="11"/>
      <color theme="0"/>
      <name val="Calibri"/>
      <family val="2"/>
      <scheme val="minor"/>
    </font>
    <font>
      <sz val="11"/>
      <color theme="0"/>
      <name val="Calibri"/>
      <family val="2"/>
      <scheme val="minor"/>
    </font>
    <font>
      <sz val="10"/>
      <color theme="0"/>
      <name val="Arial Unicode MS"/>
      <family val="2"/>
    </font>
    <font>
      <sz val="11"/>
      <color theme="0"/>
      <name val="Segoe UI"/>
      <family val="2"/>
    </font>
    <font>
      <sz val="9"/>
      <color theme="0"/>
      <name val="Courier New"/>
      <family val="3"/>
    </font>
    <font>
      <b/>
      <sz val="12"/>
      <color theme="0"/>
      <name val="Calibri"/>
      <family val="2"/>
      <scheme val="minor"/>
    </font>
    <font>
      <sz val="7"/>
      <color theme="1"/>
      <name val="Times New Roman"/>
      <family val="1"/>
    </font>
    <font>
      <b/>
      <u/>
      <sz val="11"/>
      <color theme="0"/>
      <name val="Calibri"/>
      <family val="2"/>
      <scheme val="minor"/>
    </font>
    <font>
      <sz val="12"/>
      <color rgb="FF000000"/>
      <name val="Aptos"/>
      <family val="2"/>
    </font>
    <font>
      <b/>
      <sz val="9"/>
      <color rgb="FF000000"/>
      <name val="Arial"/>
      <family val="2"/>
    </font>
    <font>
      <sz val="9"/>
      <color rgb="FF000000"/>
      <name val="Arial"/>
      <family val="2"/>
    </font>
    <font>
      <b/>
      <i/>
      <sz val="9"/>
      <color rgb="FF000000"/>
      <name val="Arial"/>
      <family val="2"/>
    </font>
    <font>
      <b/>
      <sz val="12"/>
      <color theme="1"/>
      <name val="Arial"/>
      <family val="2"/>
    </font>
  </fonts>
  <fills count="30">
    <fill>
      <patternFill patternType="none"/>
    </fill>
    <fill>
      <patternFill patternType="gray125"/>
    </fill>
    <fill>
      <patternFill patternType="solid">
        <fgColor theme="3" tint="0.79998168889431442"/>
        <bgColor indexed="64"/>
      </patternFill>
    </fill>
    <fill>
      <patternFill patternType="solid">
        <fgColor theme="5" tint="0.59999389629810485"/>
        <bgColor indexed="64"/>
      </patternFill>
    </fill>
    <fill>
      <patternFill patternType="solid">
        <fgColor rgb="FFFFCC00"/>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C000"/>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31"/>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CCCCFF"/>
        <bgColor indexed="64"/>
      </patternFill>
    </fill>
    <fill>
      <patternFill patternType="solid">
        <fgColor rgb="FFF20079"/>
        <bgColor indexed="64"/>
      </patternFill>
    </fill>
    <fill>
      <patternFill patternType="solid">
        <fgColor rgb="FFCCFFFF"/>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rgb="FFFFFF66"/>
        <bgColor indexed="64"/>
      </patternFill>
    </fill>
    <fill>
      <patternFill patternType="solid">
        <fgColor rgb="FFF2F2F2"/>
        <bgColor indexed="64"/>
      </patternFill>
    </fill>
    <fill>
      <patternFill patternType="solid">
        <fgColor theme="8" tint="0.59999389629810485"/>
        <bgColor indexed="64"/>
      </patternFill>
    </fill>
    <fill>
      <patternFill patternType="solid">
        <fgColor rgb="FFCC66FF"/>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00FF00"/>
        <bgColor indexed="64"/>
      </patternFill>
    </fill>
    <fill>
      <patternFill patternType="solid">
        <fgColor theme="7" tint="0.39997558519241921"/>
        <bgColor indexed="64"/>
      </patternFill>
    </fill>
    <fill>
      <patternFill patternType="solid">
        <fgColor rgb="FFDA9694"/>
        <bgColor indexed="64"/>
      </patternFill>
    </fill>
  </fills>
  <borders count="1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auto="1"/>
      </left>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thin">
        <color indexed="64"/>
      </left>
      <right style="thin">
        <color indexed="64"/>
      </right>
      <top/>
      <bottom style="double">
        <color indexed="64"/>
      </bottom>
      <diagonal/>
    </border>
    <border>
      <left/>
      <right style="double">
        <color indexed="64"/>
      </right>
      <top/>
      <bottom/>
      <diagonal/>
    </border>
    <border>
      <left style="double">
        <color indexed="64"/>
      </left>
      <right style="double">
        <color indexed="64"/>
      </right>
      <top style="double">
        <color indexed="64"/>
      </top>
      <bottom/>
      <diagonal/>
    </border>
    <border>
      <left style="double">
        <color indexed="64"/>
      </left>
      <right/>
      <top/>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double">
        <color indexed="64"/>
      </bottom>
      <diagonal/>
    </border>
    <border>
      <left style="thin">
        <color indexed="64"/>
      </left>
      <right style="thin">
        <color auto="1"/>
      </right>
      <top style="double">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medium">
        <color indexed="64"/>
      </left>
      <right style="medium">
        <color indexed="64"/>
      </right>
      <top/>
      <bottom style="dotted">
        <color indexed="64"/>
      </bottom>
      <diagonal/>
    </border>
    <border>
      <left/>
      <right style="medium">
        <color indexed="64"/>
      </right>
      <top/>
      <bottom style="dotted">
        <color indexed="64"/>
      </bottom>
      <diagonal/>
    </border>
    <border>
      <left style="medium">
        <color indexed="64"/>
      </left>
      <right style="medium">
        <color indexed="64"/>
      </right>
      <top style="dotted">
        <color indexed="64"/>
      </top>
      <bottom/>
      <diagonal/>
    </border>
    <border>
      <left style="medium">
        <color indexed="64"/>
      </left>
      <right style="medium">
        <color indexed="64"/>
      </right>
      <top style="dotted">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diagonal/>
    </border>
    <border>
      <left style="medium">
        <color indexed="64"/>
      </left>
      <right style="medium">
        <color indexed="64"/>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medium">
        <color indexed="64"/>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s>
  <cellStyleXfs count="23">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xf numFmtId="166"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176" fontId="3" fillId="0" borderId="0" applyFont="0" applyFill="0" applyBorder="0" applyAlignment="0" applyProtection="0"/>
    <xf numFmtId="0" fontId="8" fillId="0" borderId="0"/>
    <xf numFmtId="166" fontId="3" fillId="0" borderId="0" applyFont="0" applyFill="0" applyBorder="0" applyAlignment="0" applyProtection="0"/>
    <xf numFmtId="43" fontId="3" fillId="0" borderId="0" applyFont="0" applyFill="0" applyBorder="0" applyAlignment="0" applyProtection="0"/>
    <xf numFmtId="0" fontId="8" fillId="0" borderId="0" applyProtection="0"/>
    <xf numFmtId="2" fontId="8" fillId="0" borderId="0" applyProtection="0"/>
    <xf numFmtId="0" fontId="29" fillId="0" borderId="0" applyProtection="0"/>
    <xf numFmtId="0" fontId="20" fillId="0" borderId="0" applyProtection="0"/>
    <xf numFmtId="0" fontId="1" fillId="0" borderId="0"/>
    <xf numFmtId="0" fontId="1" fillId="0" borderId="0"/>
    <xf numFmtId="166" fontId="1" fillId="0" borderId="0" applyFont="0" applyFill="0" applyBorder="0" applyAlignment="0" applyProtection="0"/>
    <xf numFmtId="166" fontId="3" fillId="0" borderId="0" applyFont="0" applyFill="0" applyBorder="0" applyAlignment="0" applyProtection="0"/>
  </cellStyleXfs>
  <cellXfs count="1597">
    <xf numFmtId="0" fontId="0" fillId="0" borderId="0" xfId="0"/>
    <xf numFmtId="0" fontId="0" fillId="0" borderId="0" xfId="0" applyAlignment="1">
      <alignment vertical="center"/>
    </xf>
    <xf numFmtId="0" fontId="0" fillId="0" borderId="0" xfId="0" applyAlignment="1">
      <alignment horizontal="center" vertical="center"/>
    </xf>
    <xf numFmtId="0" fontId="2" fillId="0" borderId="0" xfId="0" applyFont="1" applyAlignment="1">
      <alignment vertical="center"/>
    </xf>
    <xf numFmtId="0" fontId="0" fillId="0" borderId="0" xfId="0" applyAlignment="1">
      <alignment horizontal="left" vertical="center"/>
    </xf>
    <xf numFmtId="0" fontId="0" fillId="3" borderId="4" xfId="0" applyFill="1" applyBorder="1" applyAlignment="1">
      <alignment horizontal="left" vertical="center" wrapText="1"/>
    </xf>
    <xf numFmtId="0" fontId="0" fillId="3" borderId="14" xfId="0" applyFill="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4" fillId="0" borderId="0" xfId="7" applyFont="1"/>
    <xf numFmtId="0" fontId="3" fillId="0" borderId="0" xfId="7"/>
    <xf numFmtId="0" fontId="3" fillId="9" borderId="0" xfId="7" applyFill="1"/>
    <xf numFmtId="0" fontId="3" fillId="10" borderId="0" xfId="7" applyFill="1"/>
    <xf numFmtId="0" fontId="3" fillId="11" borderId="0" xfId="7" applyFill="1"/>
    <xf numFmtId="0" fontId="12" fillId="0" borderId="13" xfId="7" applyFont="1" applyBorder="1"/>
    <xf numFmtId="0" fontId="14" fillId="0" borderId="27" xfId="7" applyFont="1" applyBorder="1" applyAlignment="1">
      <alignment horizontal="center"/>
    </xf>
    <xf numFmtId="0" fontId="12" fillId="0" borderId="0" xfId="7" applyFont="1"/>
    <xf numFmtId="0" fontId="12" fillId="0" borderId="61" xfId="7" applyFont="1" applyBorder="1"/>
    <xf numFmtId="0" fontId="14" fillId="0" borderId="30" xfId="7" applyFont="1" applyBorder="1" applyAlignment="1">
      <alignment horizontal="center"/>
    </xf>
    <xf numFmtId="0" fontId="12" fillId="0" borderId="62" xfId="7" applyFont="1" applyBorder="1" applyAlignment="1">
      <alignment horizontal="center" vertical="center" wrapText="1"/>
    </xf>
    <xf numFmtId="0" fontId="12" fillId="0" borderId="64" xfId="7" applyFont="1" applyBorder="1"/>
    <xf numFmtId="0" fontId="12" fillId="0" borderId="64" xfId="7" applyFont="1" applyBorder="1" applyAlignment="1">
      <alignment horizontal="center" vertical="center"/>
    </xf>
    <xf numFmtId="0" fontId="15" fillId="2" borderId="66" xfId="7" applyFont="1" applyFill="1" applyBorder="1" applyAlignment="1">
      <alignment horizontal="center" vertical="center"/>
    </xf>
    <xf numFmtId="0" fontId="15" fillId="0" borderId="35" xfId="7" applyFont="1" applyBorder="1" applyAlignment="1">
      <alignment horizontal="center"/>
    </xf>
    <xf numFmtId="0" fontId="13" fillId="0" borderId="14" xfId="7" applyFont="1" applyBorder="1" applyAlignment="1">
      <alignment horizontal="left" vertical="center"/>
    </xf>
    <xf numFmtId="0" fontId="13" fillId="0" borderId="15" xfId="7" applyFont="1" applyBorder="1" applyAlignment="1">
      <alignment horizontal="left" vertical="center"/>
    </xf>
    <xf numFmtId="0" fontId="13" fillId="0" borderId="15" xfId="7" applyFont="1" applyBorder="1"/>
    <xf numFmtId="0" fontId="13" fillId="0" borderId="50" xfId="7" applyFont="1" applyBorder="1"/>
    <xf numFmtId="0" fontId="18" fillId="12" borderId="40" xfId="7" applyFont="1" applyFill="1" applyBorder="1"/>
    <xf numFmtId="0" fontId="18" fillId="12" borderId="41" xfId="7" applyFont="1" applyFill="1" applyBorder="1"/>
    <xf numFmtId="0" fontId="13" fillId="0" borderId="64" xfId="7" applyFont="1" applyBorder="1" applyAlignment="1">
      <alignment horizontal="left" vertical="center" wrapText="1"/>
    </xf>
    <xf numFmtId="175" fontId="13" fillId="12" borderId="11" xfId="7" applyNumberFormat="1" applyFont="1" applyFill="1" applyBorder="1" applyAlignment="1">
      <alignment horizontal="left" vertical="center"/>
    </xf>
    <xf numFmtId="175" fontId="13" fillId="12" borderId="32" xfId="7" applyNumberFormat="1" applyFont="1" applyFill="1" applyBorder="1" applyAlignment="1">
      <alignment horizontal="left" vertical="center"/>
    </xf>
    <xf numFmtId="0" fontId="19" fillId="0" borderId="27" xfId="7" applyFont="1" applyBorder="1" applyAlignment="1">
      <alignment horizontal="center"/>
    </xf>
    <xf numFmtId="0" fontId="19" fillId="0" borderId="68" xfId="7" applyFont="1" applyBorder="1" applyAlignment="1">
      <alignment horizontal="center"/>
    </xf>
    <xf numFmtId="0" fontId="19" fillId="0" borderId="65" xfId="7" applyFont="1" applyBorder="1" applyAlignment="1">
      <alignment horizontal="center"/>
    </xf>
    <xf numFmtId="0" fontId="19" fillId="0" borderId="10" xfId="7" applyFont="1" applyBorder="1" applyAlignment="1">
      <alignment horizontal="center"/>
    </xf>
    <xf numFmtId="0" fontId="19" fillId="0" borderId="25" xfId="7" applyFont="1" applyBorder="1" applyAlignment="1">
      <alignment horizontal="center"/>
    </xf>
    <xf numFmtId="0" fontId="19" fillId="0" borderId="69" xfId="7" applyFont="1" applyBorder="1"/>
    <xf numFmtId="17" fontId="8" fillId="0" borderId="61" xfId="7" applyNumberFormat="1" applyFont="1" applyBorder="1" applyAlignment="1">
      <alignment horizontal="center" vertical="center"/>
    </xf>
    <xf numFmtId="174" fontId="8" fillId="0" borderId="52" xfId="11" applyNumberFormat="1" applyFont="1" applyBorder="1" applyAlignment="1">
      <alignment vertical="center"/>
    </xf>
    <xf numFmtId="174" fontId="8" fillId="0" borderId="55" xfId="11" applyNumberFormat="1" applyFont="1" applyBorder="1" applyAlignment="1">
      <alignment vertical="center"/>
    </xf>
    <xf numFmtId="165" fontId="8" fillId="0" borderId="0" xfId="7" applyNumberFormat="1" applyFont="1" applyAlignment="1">
      <alignment vertical="center"/>
    </xf>
    <xf numFmtId="174" fontId="21" fillId="0" borderId="68" xfId="11" applyNumberFormat="1" applyFont="1" applyBorder="1" applyAlignment="1">
      <alignment vertical="center"/>
    </xf>
    <xf numFmtId="174" fontId="8" fillId="0" borderId="51" xfId="11" applyNumberFormat="1" applyFont="1" applyBorder="1" applyAlignment="1">
      <alignment vertical="center"/>
    </xf>
    <xf numFmtId="17" fontId="20" fillId="0" borderId="70" xfId="7" applyNumberFormat="1" applyFont="1" applyBorder="1" applyAlignment="1">
      <alignment vertical="center"/>
    </xf>
    <xf numFmtId="174" fontId="20" fillId="0" borderId="71" xfId="11" applyNumberFormat="1" applyFont="1" applyFill="1" applyBorder="1" applyAlignment="1">
      <alignment vertical="center"/>
    </xf>
    <xf numFmtId="174" fontId="21" fillId="0" borderId="72" xfId="11" applyNumberFormat="1" applyFont="1" applyFill="1" applyBorder="1" applyAlignment="1">
      <alignment horizontal="center" vertical="center"/>
    </xf>
    <xf numFmtId="174" fontId="8" fillId="0" borderId="54" xfId="11" applyNumberFormat="1" applyFont="1" applyBorder="1"/>
    <xf numFmtId="17" fontId="20" fillId="0" borderId="70" xfId="7" applyNumberFormat="1" applyFont="1" applyBorder="1"/>
    <xf numFmtId="174" fontId="20" fillId="0" borderId="71" xfId="11" applyNumberFormat="1" applyFont="1" applyFill="1" applyBorder="1"/>
    <xf numFmtId="174" fontId="21" fillId="0" borderId="72" xfId="11" applyNumberFormat="1" applyFont="1" applyFill="1" applyBorder="1" applyAlignment="1">
      <alignment horizontal="center"/>
    </xf>
    <xf numFmtId="0" fontId="20" fillId="0" borderId="64" xfId="7" applyFont="1" applyBorder="1" applyAlignment="1">
      <alignment vertical="center"/>
    </xf>
    <xf numFmtId="174" fontId="20" fillId="0" borderId="65" xfId="7" applyNumberFormat="1" applyFont="1" applyBorder="1" applyAlignment="1">
      <alignment vertical="center"/>
    </xf>
    <xf numFmtId="174" fontId="21" fillId="0" borderId="69" xfId="7" applyNumberFormat="1" applyFont="1" applyBorder="1" applyAlignment="1">
      <alignment horizontal="center" vertical="center"/>
    </xf>
    <xf numFmtId="0" fontId="8" fillId="0" borderId="0" xfId="7" applyFont="1"/>
    <xf numFmtId="174" fontId="12" fillId="0" borderId="0" xfId="7" applyNumberFormat="1" applyFont="1"/>
    <xf numFmtId="0" fontId="12" fillId="0" borderId="63" xfId="7" applyFont="1" applyBorder="1" applyAlignment="1">
      <alignment horizontal="center"/>
    </xf>
    <xf numFmtId="0" fontId="12" fillId="0" borderId="7" xfId="7" applyFont="1" applyBorder="1"/>
    <xf numFmtId="0" fontId="12" fillId="0" borderId="8" xfId="7" applyFont="1" applyBorder="1"/>
    <xf numFmtId="0" fontId="12" fillId="0" borderId="52" xfId="7" applyFont="1" applyBorder="1" applyAlignment="1">
      <alignment horizontal="center"/>
    </xf>
    <xf numFmtId="0" fontId="12" fillId="0" borderId="52" xfId="7" applyFont="1" applyBorder="1"/>
    <xf numFmtId="0" fontId="12" fillId="0" borderId="62" xfId="7" applyFont="1" applyBorder="1"/>
    <xf numFmtId="0" fontId="12" fillId="0" borderId="33" xfId="7" applyFont="1" applyBorder="1"/>
    <xf numFmtId="0" fontId="12" fillId="0" borderId="61" xfId="7" applyFont="1" applyBorder="1" applyAlignment="1">
      <alignment horizontal="center" vertical="center"/>
    </xf>
    <xf numFmtId="177" fontId="15" fillId="0" borderId="55" xfId="7" applyNumberFormat="1" applyFont="1" applyBorder="1" applyAlignment="1">
      <alignment horizontal="right"/>
    </xf>
    <xf numFmtId="178" fontId="15" fillId="0" borderId="52" xfId="7" applyNumberFormat="1" applyFont="1" applyBorder="1" applyAlignment="1">
      <alignment horizontal="right"/>
    </xf>
    <xf numFmtId="0" fontId="12" fillId="0" borderId="17" xfId="7" applyFont="1" applyBorder="1"/>
    <xf numFmtId="177" fontId="12" fillId="0" borderId="55" xfId="7" applyNumberFormat="1" applyFont="1" applyBorder="1" applyAlignment="1">
      <alignment horizontal="right"/>
    </xf>
    <xf numFmtId="43" fontId="12" fillId="0" borderId="52" xfId="7" applyNumberFormat="1" applyFont="1" applyBorder="1" applyAlignment="1">
      <alignment horizontal="right"/>
    </xf>
    <xf numFmtId="43" fontId="15" fillId="0" borderId="52" xfId="7" applyNumberFormat="1" applyFont="1" applyBorder="1" applyAlignment="1">
      <alignment horizontal="right"/>
    </xf>
    <xf numFmtId="0" fontId="12" fillId="0" borderId="35" xfId="7" applyFont="1" applyBorder="1"/>
    <xf numFmtId="0" fontId="14" fillId="0" borderId="33" xfId="7" applyFont="1" applyBorder="1" applyAlignment="1">
      <alignment horizontal="left" vertical="center" wrapText="1"/>
    </xf>
    <xf numFmtId="0" fontId="14" fillId="0" borderId="0" xfId="7" applyFont="1" applyAlignment="1">
      <alignment horizontal="left" vertical="center" wrapText="1"/>
    </xf>
    <xf numFmtId="0" fontId="14" fillId="0" borderId="17" xfId="7" applyFont="1" applyBorder="1" applyAlignment="1">
      <alignment horizontal="left" vertical="center" wrapText="1"/>
    </xf>
    <xf numFmtId="0" fontId="14" fillId="0" borderId="28" xfId="7" applyFont="1" applyBorder="1"/>
    <xf numFmtId="0" fontId="14" fillId="0" borderId="29" xfId="7" applyFont="1" applyBorder="1"/>
    <xf numFmtId="0" fontId="14" fillId="0" borderId="67" xfId="7" applyFont="1" applyBorder="1"/>
    <xf numFmtId="0" fontId="12" fillId="0" borderId="50" xfId="7" applyFont="1" applyBorder="1"/>
    <xf numFmtId="43" fontId="12" fillId="0" borderId="51" xfId="7" applyNumberFormat="1" applyFont="1" applyBorder="1" applyAlignment="1">
      <alignment horizontal="right"/>
    </xf>
    <xf numFmtId="43" fontId="12" fillId="0" borderId="53" xfId="7" applyNumberFormat="1" applyFont="1" applyBorder="1" applyAlignment="1">
      <alignment horizontal="right"/>
    </xf>
    <xf numFmtId="0" fontId="12" fillId="0" borderId="73" xfId="7" applyFont="1" applyBorder="1"/>
    <xf numFmtId="0" fontId="12" fillId="0" borderId="45" xfId="7" applyFont="1" applyBorder="1"/>
    <xf numFmtId="0" fontId="12" fillId="0" borderId="63" xfId="7" applyFont="1" applyBorder="1"/>
    <xf numFmtId="0" fontId="12" fillId="0" borderId="77" xfId="7" applyFont="1" applyBorder="1"/>
    <xf numFmtId="0" fontId="12" fillId="0" borderId="1" xfId="7" applyFont="1" applyBorder="1"/>
    <xf numFmtId="0" fontId="12" fillId="0" borderId="2" xfId="7" applyFont="1" applyBorder="1"/>
    <xf numFmtId="0" fontId="12" fillId="0" borderId="3" xfId="7" applyFont="1" applyBorder="1"/>
    <xf numFmtId="0" fontId="12" fillId="0" borderId="25" xfId="7" applyFont="1" applyBorder="1"/>
    <xf numFmtId="0" fontId="14" fillId="0" borderId="25" xfId="7" applyFont="1" applyBorder="1" applyAlignment="1">
      <alignment horizontal="left"/>
    </xf>
    <xf numFmtId="0" fontId="14" fillId="0" borderId="35" xfId="7" applyFont="1" applyBorder="1" applyAlignment="1">
      <alignment horizontal="left"/>
    </xf>
    <xf numFmtId="178" fontId="12" fillId="0" borderId="0" xfId="7" applyNumberFormat="1" applyFont="1"/>
    <xf numFmtId="0" fontId="8" fillId="0" borderId="0" xfId="12"/>
    <xf numFmtId="0" fontId="20" fillId="0" borderId="7" xfId="12" applyFont="1" applyBorder="1" applyAlignment="1" applyProtection="1">
      <alignment horizontal="center" vertical="center"/>
      <protection locked="0"/>
    </xf>
    <xf numFmtId="0" fontId="20" fillId="0" borderId="0" xfId="12" applyFont="1" applyAlignment="1" applyProtection="1">
      <alignment horizontal="center" vertical="center"/>
      <protection locked="0"/>
    </xf>
    <xf numFmtId="0" fontId="4" fillId="0" borderId="8" xfId="7" applyFont="1" applyBorder="1" applyAlignment="1">
      <alignment vertical="center"/>
    </xf>
    <xf numFmtId="0" fontId="4" fillId="0" borderId="40" xfId="7" applyFont="1" applyBorder="1" applyAlignment="1">
      <alignment vertical="center"/>
    </xf>
    <xf numFmtId="0" fontId="4" fillId="0" borderId="40" xfId="7" applyFont="1" applyBorder="1" applyAlignment="1">
      <alignment horizontal="left" wrapText="1"/>
    </xf>
    <xf numFmtId="0" fontId="4" fillId="0" borderId="40" xfId="7" applyFont="1" applyBorder="1" applyAlignment="1">
      <alignment horizontal="left" vertical="center" wrapText="1"/>
    </xf>
    <xf numFmtId="0" fontId="4" fillId="0" borderId="40" xfId="7" applyFont="1" applyBorder="1" applyAlignment="1">
      <alignment horizontal="right" vertical="center" wrapText="1"/>
    </xf>
    <xf numFmtId="0" fontId="20" fillId="0" borderId="0" xfId="12" quotePrefix="1" applyFont="1" applyAlignment="1" applyProtection="1">
      <alignment horizontal="left"/>
      <protection locked="0"/>
    </xf>
    <xf numFmtId="0" fontId="20" fillId="0" borderId="0" xfId="12" applyFont="1"/>
    <xf numFmtId="0" fontId="20" fillId="0" borderId="0" xfId="12" applyFont="1" applyProtection="1">
      <protection locked="0"/>
    </xf>
    <xf numFmtId="0" fontId="20" fillId="0" borderId="0" xfId="12" applyFont="1" applyAlignment="1">
      <alignment horizontal="center"/>
    </xf>
    <xf numFmtId="0" fontId="20" fillId="0" borderId="0" xfId="12" applyFont="1" applyAlignment="1" applyProtection="1">
      <alignment horizontal="center"/>
      <protection locked="0"/>
    </xf>
    <xf numFmtId="0" fontId="20" fillId="0" borderId="1" xfId="12" quotePrefix="1" applyFont="1" applyBorder="1" applyAlignment="1" applyProtection="1">
      <alignment horizontal="left"/>
      <protection locked="0"/>
    </xf>
    <xf numFmtId="0" fontId="20" fillId="0" borderId="2" xfId="12" applyFont="1" applyBorder="1"/>
    <xf numFmtId="0" fontId="20" fillId="0" borderId="2" xfId="12" applyFont="1" applyBorder="1" applyProtection="1">
      <protection locked="0"/>
    </xf>
    <xf numFmtId="0" fontId="20" fillId="0" borderId="2" xfId="12" applyFont="1" applyBorder="1" applyAlignment="1">
      <alignment horizontal="center"/>
    </xf>
    <xf numFmtId="0" fontId="20" fillId="0" borderId="3" xfId="12" applyFont="1" applyBorder="1" applyAlignment="1" applyProtection="1">
      <alignment horizontal="center"/>
      <protection locked="0"/>
    </xf>
    <xf numFmtId="0" fontId="20" fillId="0" borderId="33" xfId="12" applyFont="1" applyBorder="1"/>
    <xf numFmtId="0" fontId="20" fillId="0" borderId="17" xfId="12" applyFont="1" applyBorder="1"/>
    <xf numFmtId="0" fontId="14" fillId="0" borderId="1" xfId="12" applyFont="1" applyBorder="1" applyAlignment="1">
      <alignment horizontal="center"/>
    </xf>
    <xf numFmtId="0" fontId="14" fillId="0" borderId="2" xfId="12" applyFont="1" applyBorder="1" applyAlignment="1">
      <alignment horizontal="center"/>
    </xf>
    <xf numFmtId="0" fontId="14" fillId="0" borderId="18" xfId="12" applyFont="1" applyBorder="1" applyAlignment="1">
      <alignment horizontal="center" vertical="top" wrapText="1"/>
    </xf>
    <xf numFmtId="0" fontId="14" fillId="0" borderId="18" xfId="12" applyFont="1" applyBorder="1" applyAlignment="1">
      <alignment horizontal="center"/>
    </xf>
    <xf numFmtId="0" fontId="14" fillId="0" borderId="33" xfId="12" applyFont="1" applyBorder="1" applyAlignment="1">
      <alignment horizontal="center"/>
    </xf>
    <xf numFmtId="0" fontId="14" fillId="0" borderId="0" xfId="12" applyFont="1" applyAlignment="1">
      <alignment horizontal="center"/>
    </xf>
    <xf numFmtId="0" fontId="14" fillId="0" borderId="55" xfId="12" applyFont="1" applyBorder="1" applyAlignment="1">
      <alignment horizontal="center" vertical="top" wrapText="1"/>
    </xf>
    <xf numFmtId="0" fontId="3" fillId="0" borderId="55" xfId="7" applyBorder="1" applyAlignment="1">
      <alignment horizontal="center"/>
    </xf>
    <xf numFmtId="0" fontId="14" fillId="0" borderId="55" xfId="7" applyFont="1" applyBorder="1" applyAlignment="1">
      <alignment horizontal="center" vertical="top" wrapText="1"/>
    </xf>
    <xf numFmtId="0" fontId="12" fillId="0" borderId="55" xfId="7" applyFont="1" applyBorder="1" applyAlignment="1">
      <alignment horizontal="center"/>
    </xf>
    <xf numFmtId="0" fontId="14" fillId="0" borderId="55" xfId="7" applyFont="1" applyBorder="1" applyAlignment="1">
      <alignment horizontal="center"/>
    </xf>
    <xf numFmtId="0" fontId="14" fillId="0" borderId="34" xfId="12" applyFont="1" applyBorder="1" applyAlignment="1">
      <alignment horizontal="center"/>
    </xf>
    <xf numFmtId="0" fontId="14" fillId="0" borderId="25" xfId="12" applyFont="1" applyBorder="1" applyAlignment="1">
      <alignment horizontal="center"/>
    </xf>
    <xf numFmtId="0" fontId="12" fillId="0" borderId="80" xfId="7" applyFont="1" applyBorder="1" applyAlignment="1">
      <alignment horizontal="center" vertical="top" wrapText="1"/>
    </xf>
    <xf numFmtId="0" fontId="12" fillId="0" borderId="80" xfId="7" applyFont="1" applyBorder="1" applyAlignment="1">
      <alignment horizontal="center"/>
    </xf>
    <xf numFmtId="0" fontId="14" fillId="0" borderId="80" xfId="7" applyFont="1" applyBorder="1" applyAlignment="1">
      <alignment horizontal="center"/>
    </xf>
    <xf numFmtId="0" fontId="12" fillId="0" borderId="50" xfId="12" applyFont="1" applyBorder="1" applyAlignment="1">
      <alignment horizontal="center"/>
    </xf>
    <xf numFmtId="0" fontId="12" fillId="0" borderId="29" xfId="12" applyFont="1" applyBorder="1"/>
    <xf numFmtId="0" fontId="12" fillId="0" borderId="51" xfId="12" applyFont="1" applyBorder="1" applyAlignment="1">
      <alignment horizontal="center"/>
    </xf>
    <xf numFmtId="179" fontId="12" fillId="0" borderId="51" xfId="12" applyNumberFormat="1" applyFont="1" applyBorder="1" applyProtection="1">
      <protection locked="0"/>
    </xf>
    <xf numFmtId="4" fontId="12" fillId="0" borderId="51" xfId="12" applyNumberFormat="1" applyFont="1" applyBorder="1" applyProtection="1">
      <protection locked="0"/>
    </xf>
    <xf numFmtId="180" fontId="8" fillId="0" borderId="0" xfId="12" applyNumberFormat="1" applyProtection="1">
      <protection locked="0"/>
    </xf>
    <xf numFmtId="0" fontId="12" fillId="0" borderId="15" xfId="12" applyFont="1" applyBorder="1" applyAlignment="1">
      <alignment horizontal="center"/>
    </xf>
    <xf numFmtId="0" fontId="12" fillId="0" borderId="40" xfId="12" applyFont="1" applyBorder="1"/>
    <xf numFmtId="0" fontId="12" fillId="0" borderId="7" xfId="12" applyFont="1" applyBorder="1" applyAlignment="1">
      <alignment horizontal="center"/>
    </xf>
    <xf numFmtId="179" fontId="12" fillId="0" borderId="7" xfId="12" applyNumberFormat="1" applyFont="1" applyBorder="1" applyProtection="1">
      <protection locked="0"/>
    </xf>
    <xf numFmtId="4" fontId="12" fillId="0" borderId="7" xfId="12" applyNumberFormat="1" applyFont="1" applyBorder="1" applyProtection="1">
      <protection locked="0"/>
    </xf>
    <xf numFmtId="0" fontId="12" fillId="0" borderId="62" xfId="12" applyFont="1" applyBorder="1" applyAlignment="1">
      <alignment horizontal="center"/>
    </xf>
    <xf numFmtId="0" fontId="12" fillId="0" borderId="45" xfId="12" applyFont="1" applyBorder="1"/>
    <xf numFmtId="0" fontId="12" fillId="0" borderId="57" xfId="12" applyFont="1" applyBorder="1" applyAlignment="1">
      <alignment horizontal="center"/>
    </xf>
    <xf numFmtId="4" fontId="12" fillId="0" borderId="57" xfId="12" applyNumberFormat="1" applyFont="1" applyBorder="1"/>
    <xf numFmtId="179" fontId="12" fillId="0" borderId="57" xfId="12" applyNumberFormat="1" applyFont="1" applyBorder="1" applyProtection="1">
      <protection locked="0"/>
    </xf>
    <xf numFmtId="4" fontId="12" fillId="0" borderId="57" xfId="12" applyNumberFormat="1" applyFont="1" applyBorder="1" applyProtection="1">
      <protection locked="0"/>
    </xf>
    <xf numFmtId="179" fontId="12" fillId="0" borderId="4" xfId="12" applyNumberFormat="1" applyFont="1" applyBorder="1" applyProtection="1">
      <protection locked="0"/>
    </xf>
    <xf numFmtId="4" fontId="12" fillId="0" borderId="4" xfId="12" applyNumberFormat="1" applyFont="1" applyBorder="1" applyProtection="1">
      <protection locked="0"/>
    </xf>
    <xf numFmtId="0" fontId="12" fillId="0" borderId="56" xfId="12" applyFont="1" applyBorder="1" applyAlignment="1">
      <alignment horizontal="center" vertical="center"/>
    </xf>
    <xf numFmtId="0" fontId="14" fillId="0" borderId="26" xfId="12" applyFont="1" applyBorder="1" applyAlignment="1">
      <alignment vertical="center"/>
    </xf>
    <xf numFmtId="0" fontId="12" fillId="0" borderId="22" xfId="12" applyFont="1" applyBorder="1" applyAlignment="1">
      <alignment vertical="center"/>
    </xf>
    <xf numFmtId="0" fontId="12" fillId="0" borderId="24" xfId="12" applyFont="1" applyBorder="1" applyAlignment="1">
      <alignment vertical="center"/>
    </xf>
    <xf numFmtId="179" fontId="12" fillId="0" borderId="20" xfId="12" applyNumberFormat="1" applyFont="1" applyBorder="1" applyAlignment="1" applyProtection="1">
      <alignment vertical="center"/>
      <protection locked="0"/>
    </xf>
    <xf numFmtId="0" fontId="12" fillId="0" borderId="33" xfId="12" applyFont="1" applyBorder="1"/>
    <xf numFmtId="0" fontId="12" fillId="0" borderId="0" xfId="12" applyFont="1"/>
    <xf numFmtId="0" fontId="12" fillId="0" borderId="17" xfId="12" applyFont="1" applyBorder="1"/>
    <xf numFmtId="0" fontId="8" fillId="0" borderId="0" xfId="12" applyProtection="1">
      <protection locked="0"/>
    </xf>
    <xf numFmtId="181" fontId="12" fillId="0" borderId="0" xfId="12" applyNumberFormat="1" applyFont="1"/>
    <xf numFmtId="181" fontId="12" fillId="0" borderId="17" xfId="12" applyNumberFormat="1" applyFont="1" applyBorder="1"/>
    <xf numFmtId="0" fontId="12" fillId="13" borderId="33" xfId="12" applyFont="1" applyFill="1" applyBorder="1"/>
    <xf numFmtId="0" fontId="12" fillId="13" borderId="0" xfId="12" applyFont="1" applyFill="1"/>
    <xf numFmtId="0" fontId="12" fillId="0" borderId="34" xfId="12" applyFont="1" applyBorder="1"/>
    <xf numFmtId="0" fontId="12" fillId="0" borderId="25" xfId="12" applyFont="1" applyBorder="1"/>
    <xf numFmtId="0" fontId="12" fillId="0" borderId="35" xfId="12" applyFont="1" applyBorder="1"/>
    <xf numFmtId="166" fontId="3" fillId="0" borderId="0" xfId="13" applyBorder="1" applyAlignment="1">
      <alignment horizontal="right"/>
    </xf>
    <xf numFmtId="166" fontId="20" fillId="0" borderId="7" xfId="13" applyFont="1" applyBorder="1" applyAlignment="1">
      <alignment horizontal="center"/>
    </xf>
    <xf numFmtId="0" fontId="4" fillId="0" borderId="40" xfId="7" applyFont="1" applyBorder="1" applyAlignment="1">
      <alignment horizontal="left"/>
    </xf>
    <xf numFmtId="10" fontId="3" fillId="0" borderId="0" xfId="7" applyNumberFormat="1"/>
    <xf numFmtId="0" fontId="4" fillId="0" borderId="1" xfId="7" applyFont="1" applyBorder="1" applyAlignment="1">
      <alignment horizontal="left" wrapText="1"/>
    </xf>
    <xf numFmtId="0" fontId="3" fillId="0" borderId="2" xfId="7" applyBorder="1" applyAlignment="1">
      <alignment horizontal="left"/>
    </xf>
    <xf numFmtId="0" fontId="3" fillId="0" borderId="3" xfId="7" applyBorder="1" applyAlignment="1">
      <alignment horizontal="left"/>
    </xf>
    <xf numFmtId="0" fontId="4" fillId="0" borderId="33" xfId="7" applyFont="1" applyBorder="1" applyAlignment="1">
      <alignment horizontal="left" wrapText="1"/>
    </xf>
    <xf numFmtId="0" fontId="3" fillId="0" borderId="0" xfId="7" applyAlignment="1">
      <alignment horizontal="left"/>
    </xf>
    <xf numFmtId="0" fontId="3" fillId="0" borderId="17" xfId="7" applyBorder="1" applyAlignment="1">
      <alignment horizontal="left"/>
    </xf>
    <xf numFmtId="0" fontId="4" fillId="0" borderId="14" xfId="7" applyFont="1" applyBorder="1" applyAlignment="1">
      <alignment horizontal="center" vertical="center"/>
    </xf>
    <xf numFmtId="0" fontId="4" fillId="0" borderId="4" xfId="7" applyFont="1" applyBorder="1" applyAlignment="1">
      <alignment horizontal="center" vertical="top" wrapText="1"/>
    </xf>
    <xf numFmtId="0" fontId="4" fillId="0" borderId="4" xfId="7" applyFont="1" applyBorder="1" applyAlignment="1">
      <alignment horizontal="center" vertical="center" wrapText="1"/>
    </xf>
    <xf numFmtId="166" fontId="4" fillId="0" borderId="4" xfId="13" applyFont="1" applyBorder="1" applyAlignment="1">
      <alignment horizontal="center" vertical="center"/>
    </xf>
    <xf numFmtId="0" fontId="4" fillId="0" borderId="6" xfId="7" applyFont="1" applyBorder="1" applyAlignment="1">
      <alignment horizontal="center" vertical="center"/>
    </xf>
    <xf numFmtId="0" fontId="3" fillId="0" borderId="7" xfId="7" applyBorder="1" applyAlignment="1">
      <alignment horizontal="center"/>
    </xf>
    <xf numFmtId="4" fontId="3" fillId="0" borderId="7" xfId="7" applyNumberFormat="1" applyBorder="1"/>
    <xf numFmtId="4" fontId="3" fillId="0" borderId="7" xfId="13" applyNumberFormat="1" applyFill="1" applyBorder="1"/>
    <xf numFmtId="10" fontId="3" fillId="11" borderId="9" xfId="13" applyNumberFormat="1" applyFill="1" applyBorder="1"/>
    <xf numFmtId="0" fontId="3" fillId="0" borderId="40" xfId="7" applyBorder="1" applyAlignment="1">
      <alignment horizontal="left"/>
    </xf>
    <xf numFmtId="0" fontId="4" fillId="0" borderId="62" xfId="7" applyFont="1" applyBorder="1"/>
    <xf numFmtId="4" fontId="3" fillId="11" borderId="7" xfId="6" applyNumberFormat="1" applyFill="1" applyBorder="1" applyAlignment="1"/>
    <xf numFmtId="0" fontId="4" fillId="11" borderId="61" xfId="7" applyFont="1" applyFill="1" applyBorder="1" applyAlignment="1">
      <alignment vertical="center"/>
    </xf>
    <xf numFmtId="0" fontId="3" fillId="11" borderId="40" xfId="7" applyFill="1" applyBorder="1" applyAlignment="1">
      <alignment vertical="center"/>
    </xf>
    <xf numFmtId="166" fontId="3" fillId="11" borderId="42" xfId="13" applyFill="1" applyBorder="1" applyAlignment="1">
      <alignment vertical="center"/>
    </xf>
    <xf numFmtId="179" fontId="4" fillId="11" borderId="9" xfId="13" applyNumberFormat="1" applyFont="1" applyFill="1" applyBorder="1" applyAlignment="1">
      <alignment vertical="center"/>
    </xf>
    <xf numFmtId="0" fontId="4" fillId="11" borderId="64" xfId="7" applyFont="1" applyFill="1" applyBorder="1" applyAlignment="1">
      <alignment vertical="center"/>
    </xf>
    <xf numFmtId="0" fontId="3" fillId="11" borderId="32" xfId="7" applyFill="1" applyBorder="1" applyAlignment="1">
      <alignment vertical="center"/>
    </xf>
    <xf numFmtId="166" fontId="3" fillId="11" borderId="81" xfId="13" applyFill="1" applyBorder="1" applyAlignment="1">
      <alignment vertical="center"/>
    </xf>
    <xf numFmtId="179" fontId="4" fillId="11" borderId="12" xfId="13" applyNumberFormat="1" applyFont="1" applyFill="1" applyBorder="1" applyAlignment="1">
      <alignment vertical="center"/>
    </xf>
    <xf numFmtId="0" fontId="3" fillId="0" borderId="1" xfId="7" applyBorder="1"/>
    <xf numFmtId="0" fontId="3" fillId="0" borderId="2" xfId="7" applyBorder="1"/>
    <xf numFmtId="166" fontId="3" fillId="0" borderId="2" xfId="13" applyBorder="1"/>
    <xf numFmtId="179" fontId="3" fillId="0" borderId="3" xfId="7" applyNumberFormat="1" applyBorder="1"/>
    <xf numFmtId="0" fontId="14" fillId="0" borderId="33" xfId="7" applyFont="1" applyBorder="1" applyAlignment="1">
      <alignment horizontal="centerContinuous"/>
    </xf>
    <xf numFmtId="0" fontId="3" fillId="0" borderId="0" xfId="7" applyAlignment="1">
      <alignment horizontal="centerContinuous"/>
    </xf>
    <xf numFmtId="166" fontId="3" fillId="0" borderId="0" xfId="13" applyBorder="1" applyAlignment="1">
      <alignment horizontal="centerContinuous"/>
    </xf>
    <xf numFmtId="179" fontId="3" fillId="0" borderId="17" xfId="7" applyNumberFormat="1" applyBorder="1" applyAlignment="1">
      <alignment horizontal="centerContinuous"/>
    </xf>
    <xf numFmtId="0" fontId="3" fillId="0" borderId="34" xfId="7" applyBorder="1"/>
    <xf numFmtId="0" fontId="3" fillId="0" borderId="25" xfId="7" applyBorder="1"/>
    <xf numFmtId="0" fontId="4" fillId="0" borderId="10" xfId="7" applyFont="1" applyBorder="1" applyAlignment="1">
      <alignment horizontal="center"/>
    </xf>
    <xf numFmtId="166" fontId="4" fillId="0" borderId="10" xfId="13" applyFont="1" applyBorder="1" applyAlignment="1">
      <alignment horizontal="center"/>
    </xf>
    <xf numFmtId="179" fontId="4" fillId="0" borderId="12" xfId="7" applyNumberFormat="1" applyFont="1" applyBorder="1" applyAlignment="1">
      <alignment horizontal="center"/>
    </xf>
    <xf numFmtId="0" fontId="3" fillId="0" borderId="28" xfId="7" applyBorder="1" applyAlignment="1">
      <alignment horizontal="left"/>
    </xf>
    <xf numFmtId="0" fontId="3" fillId="0" borderId="29" xfId="7" applyBorder="1" applyAlignment="1">
      <alignment horizontal="left"/>
    </xf>
    <xf numFmtId="179" fontId="3" fillId="0" borderId="51" xfId="7" applyNumberFormat="1" applyBorder="1" applyAlignment="1">
      <alignment horizontal="center"/>
    </xf>
    <xf numFmtId="4" fontId="3" fillId="0" borderId="30" xfId="7" applyNumberFormat="1" applyBorder="1" applyAlignment="1">
      <alignment horizontal="center"/>
    </xf>
    <xf numFmtId="4" fontId="3" fillId="0" borderId="51" xfId="7" applyNumberFormat="1" applyBorder="1" applyAlignment="1">
      <alignment horizontal="center"/>
    </xf>
    <xf numFmtId="4" fontId="3" fillId="0" borderId="9" xfId="7" applyNumberFormat="1" applyBorder="1" applyAlignment="1">
      <alignment horizontal="center"/>
    </xf>
    <xf numFmtId="0" fontId="3" fillId="0" borderId="39" xfId="7" applyBorder="1" applyAlignment="1">
      <alignment horizontal="left"/>
    </xf>
    <xf numFmtId="0" fontId="3" fillId="0" borderId="31" xfId="7" applyBorder="1" applyAlignment="1">
      <alignment horizontal="left"/>
    </xf>
    <xf numFmtId="0" fontId="4" fillId="0" borderId="32" xfId="7" applyFont="1" applyBorder="1" applyAlignment="1">
      <alignment horizontal="left"/>
    </xf>
    <xf numFmtId="0" fontId="3" fillId="0" borderId="32" xfId="7" applyBorder="1" applyAlignment="1">
      <alignment horizontal="left"/>
    </xf>
    <xf numFmtId="4" fontId="3" fillId="0" borderId="10" xfId="7" applyNumberFormat="1" applyBorder="1" applyAlignment="1">
      <alignment horizontal="center"/>
    </xf>
    <xf numFmtId="4" fontId="4" fillId="0" borderId="12" xfId="7" applyNumberFormat="1" applyFont="1" applyBorder="1" applyAlignment="1">
      <alignment horizontal="right"/>
    </xf>
    <xf numFmtId="166" fontId="3" fillId="0" borderId="0" xfId="13"/>
    <xf numFmtId="182" fontId="3" fillId="0" borderId="0" xfId="7" applyNumberFormat="1"/>
    <xf numFmtId="0" fontId="4" fillId="0" borderId="8" xfId="7" applyFont="1" applyBorder="1" applyAlignment="1">
      <alignment horizontal="left" vertical="center"/>
    </xf>
    <xf numFmtId="182" fontId="4" fillId="0" borderId="40" xfId="7" applyNumberFormat="1" applyFont="1" applyBorder="1" applyAlignment="1">
      <alignment horizontal="left" wrapText="1"/>
    </xf>
    <xf numFmtId="0" fontId="4" fillId="0" borderId="40" xfId="7" applyFont="1" applyBorder="1" applyAlignment="1">
      <alignment horizontal="right" vertical="center"/>
    </xf>
    <xf numFmtId="0" fontId="4" fillId="0" borderId="0" xfId="7" applyFont="1" applyAlignment="1">
      <alignment horizontal="right" vertical="center"/>
    </xf>
    <xf numFmtId="0" fontId="4" fillId="0" borderId="0" xfId="7" applyFont="1" applyAlignment="1">
      <alignment horizontal="left" vertical="center" wrapText="1"/>
    </xf>
    <xf numFmtId="182" fontId="4" fillId="0" borderId="0" xfId="7" applyNumberFormat="1" applyFont="1" applyAlignment="1">
      <alignment horizontal="left" wrapText="1"/>
    </xf>
    <xf numFmtId="0" fontId="4" fillId="0" borderId="0" xfId="7" applyFont="1" applyAlignment="1">
      <alignment horizontal="left" wrapText="1"/>
    </xf>
    <xf numFmtId="0" fontId="4" fillId="0" borderId="0" xfId="7" applyFont="1" applyAlignment="1">
      <alignment horizontal="center" vertical="center" wrapText="1"/>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2" xfId="7" applyFont="1" applyBorder="1" applyAlignment="1">
      <alignment horizontal="left" vertical="center" wrapText="1"/>
    </xf>
    <xf numFmtId="182" fontId="4" fillId="0" borderId="2" xfId="7" applyNumberFormat="1" applyFont="1" applyBorder="1" applyAlignment="1">
      <alignment horizontal="left" wrapText="1"/>
    </xf>
    <xf numFmtId="0" fontId="4" fillId="0" borderId="2" xfId="7" applyFont="1" applyBorder="1" applyAlignment="1">
      <alignment horizontal="left" wrapText="1"/>
    </xf>
    <xf numFmtId="0" fontId="4" fillId="0" borderId="2" xfId="7" applyFont="1" applyBorder="1" applyAlignment="1">
      <alignment horizontal="center" vertical="center" wrapText="1"/>
    </xf>
    <xf numFmtId="0" fontId="4" fillId="0" borderId="3" xfId="7" applyFont="1" applyBorder="1" applyAlignment="1">
      <alignment horizontal="center" vertical="center" wrapText="1"/>
    </xf>
    <xf numFmtId="182" fontId="14" fillId="0" borderId="0" xfId="7" applyNumberFormat="1" applyFont="1" applyAlignment="1">
      <alignment horizontal="center" vertical="center"/>
    </xf>
    <xf numFmtId="0" fontId="14" fillId="0" borderId="0" xfId="7" applyFont="1" applyAlignment="1">
      <alignment horizontal="center" vertical="center"/>
    </xf>
    <xf numFmtId="0" fontId="4" fillId="0" borderId="13" xfId="7" applyFont="1" applyBorder="1"/>
    <xf numFmtId="0" fontId="4" fillId="0" borderId="4" xfId="7" applyFont="1" applyBorder="1" applyAlignment="1">
      <alignment horizontal="center"/>
    </xf>
    <xf numFmtId="0" fontId="4" fillId="0" borderId="64" xfId="7" applyFont="1" applyBorder="1" applyAlignment="1">
      <alignment wrapText="1"/>
    </xf>
    <xf numFmtId="0" fontId="4" fillId="0" borderId="66" xfId="7" applyFont="1" applyBorder="1" applyAlignment="1">
      <alignment horizontal="center" wrapText="1"/>
    </xf>
    <xf numFmtId="0" fontId="4" fillId="0" borderId="80" xfId="7" applyFont="1" applyBorder="1" applyAlignment="1">
      <alignment horizontal="center" vertical="center" wrapText="1"/>
    </xf>
    <xf numFmtId="0" fontId="4" fillId="0" borderId="10" xfId="7" applyFont="1" applyBorder="1" applyAlignment="1">
      <alignment horizontal="center" vertical="center" wrapText="1"/>
    </xf>
    <xf numFmtId="182" fontId="4" fillId="0" borderId="10" xfId="7" applyNumberFormat="1" applyFont="1" applyBorder="1" applyAlignment="1">
      <alignment horizontal="center" vertical="center" wrapText="1"/>
    </xf>
    <xf numFmtId="0" fontId="4" fillId="0" borderId="80" xfId="7" applyFont="1" applyBorder="1" applyAlignment="1">
      <alignment horizontal="center" vertical="top" wrapText="1"/>
    </xf>
    <xf numFmtId="0" fontId="4" fillId="0" borderId="65" xfId="7" applyFont="1" applyBorder="1" applyAlignment="1">
      <alignment horizontal="center" wrapText="1"/>
    </xf>
    <xf numFmtId="0" fontId="4" fillId="0" borderId="10" xfId="7" applyFont="1" applyBorder="1" applyAlignment="1">
      <alignment horizontal="center" wrapText="1"/>
    </xf>
    <xf numFmtId="0" fontId="4" fillId="0" borderId="11" xfId="7" applyFont="1" applyBorder="1" applyAlignment="1">
      <alignment horizontal="center" wrapText="1"/>
    </xf>
    <xf numFmtId="2" fontId="4" fillId="0" borderId="12" xfId="7" applyNumberFormat="1" applyFont="1" applyBorder="1" applyAlignment="1">
      <alignment horizontal="center" wrapText="1"/>
    </xf>
    <xf numFmtId="0" fontId="3" fillId="0" borderId="0" xfId="7" applyAlignment="1">
      <alignment wrapText="1"/>
    </xf>
    <xf numFmtId="0" fontId="24" fillId="0" borderId="50" xfId="7" applyFont="1" applyBorder="1"/>
    <xf numFmtId="0" fontId="24" fillId="0" borderId="47" xfId="7" applyFont="1" applyBorder="1"/>
    <xf numFmtId="0" fontId="24" fillId="0" borderId="51" xfId="7" applyFont="1" applyBorder="1"/>
    <xf numFmtId="0" fontId="24" fillId="0" borderId="51" xfId="7" applyFont="1" applyBorder="1" applyAlignment="1">
      <alignment horizontal="center"/>
    </xf>
    <xf numFmtId="0" fontId="24" fillId="0" borderId="51" xfId="7" applyFont="1" applyBorder="1" applyAlignment="1">
      <alignment horizontal="center" vertical="center"/>
    </xf>
    <xf numFmtId="182" fontId="24" fillId="0" borderId="51" xfId="7" applyNumberFormat="1" applyFont="1" applyBorder="1"/>
    <xf numFmtId="1" fontId="24" fillId="0" borderId="51" xfId="7" applyNumberFormat="1" applyFont="1" applyBorder="1" applyAlignment="1">
      <alignment horizontal="center"/>
    </xf>
    <xf numFmtId="4" fontId="24" fillId="0" borderId="53" xfId="7" applyNumberFormat="1" applyFont="1" applyBorder="1" applyAlignment="1">
      <alignment horizontal="left" vertical="center" wrapText="1"/>
    </xf>
    <xf numFmtId="0" fontId="24" fillId="0" borderId="53" xfId="7" applyFont="1" applyBorder="1" applyAlignment="1">
      <alignment horizontal="center"/>
    </xf>
    <xf numFmtId="2" fontId="24" fillId="0" borderId="30" xfId="7" applyNumberFormat="1" applyFont="1" applyBorder="1" applyAlignment="1">
      <alignment horizontal="center"/>
    </xf>
    <xf numFmtId="0" fontId="3" fillId="9" borderId="15" xfId="7" applyFill="1" applyBorder="1"/>
    <xf numFmtId="15" fontId="3" fillId="13" borderId="42" xfId="7" applyNumberFormat="1" applyFill="1" applyBorder="1"/>
    <xf numFmtId="183" fontId="3" fillId="9" borderId="7" xfId="7" applyNumberFormat="1" applyFill="1" applyBorder="1" applyAlignment="1">
      <alignment horizontal="center"/>
    </xf>
    <xf numFmtId="43" fontId="3" fillId="13" borderId="8" xfId="7" applyNumberFormat="1" applyFill="1" applyBorder="1" applyAlignment="1">
      <alignment horizontal="right"/>
    </xf>
    <xf numFmtId="43" fontId="3" fillId="0" borderId="7" xfId="7" applyNumberFormat="1" applyBorder="1" applyAlignment="1">
      <alignment horizontal="right"/>
    </xf>
    <xf numFmtId="43" fontId="3" fillId="0" borderId="8" xfId="7" applyNumberFormat="1" applyBorder="1" applyAlignment="1">
      <alignment horizontal="right"/>
    </xf>
    <xf numFmtId="43" fontId="3" fillId="13" borderId="44" xfId="7" applyNumberFormat="1" applyFill="1" applyBorder="1" applyAlignment="1">
      <alignment horizontal="right"/>
    </xf>
    <xf numFmtId="43" fontId="3" fillId="0" borderId="10" xfId="7" applyNumberFormat="1" applyBorder="1" applyAlignment="1">
      <alignment horizontal="right"/>
    </xf>
    <xf numFmtId="43" fontId="3" fillId="0" borderId="5" xfId="7" applyNumberFormat="1" applyBorder="1" applyAlignment="1">
      <alignment horizontal="right"/>
    </xf>
    <xf numFmtId="43" fontId="3" fillId="0" borderId="6" xfId="7" applyNumberFormat="1" applyBorder="1" applyAlignment="1">
      <alignment horizontal="right"/>
    </xf>
    <xf numFmtId="182" fontId="3" fillId="0" borderId="7" xfId="7" applyNumberFormat="1" applyBorder="1" applyAlignment="1">
      <alignment horizontal="center"/>
    </xf>
    <xf numFmtId="0" fontId="4" fillId="0" borderId="0" xfId="7" applyFont="1" applyAlignment="1">
      <alignment horizontal="left" vertical="center"/>
    </xf>
    <xf numFmtId="0" fontId="3" fillId="0" borderId="0" xfId="7" applyAlignment="1">
      <alignment horizontal="left" vertical="center"/>
    </xf>
    <xf numFmtId="182" fontId="3" fillId="0" borderId="0" xfId="7" applyNumberFormat="1" applyAlignment="1">
      <alignment horizontal="left" vertical="center"/>
    </xf>
    <xf numFmtId="43" fontId="4" fillId="0" borderId="0" xfId="7" applyNumberFormat="1" applyFont="1" applyAlignment="1">
      <alignment horizontal="right"/>
    </xf>
    <xf numFmtId="0" fontId="20" fillId="0" borderId="7" xfId="12" applyFont="1" applyBorder="1" applyAlignment="1" applyProtection="1">
      <alignment horizontal="center"/>
      <protection locked="0"/>
    </xf>
    <xf numFmtId="0" fontId="4" fillId="0" borderId="40" xfId="7" applyFont="1" applyBorder="1" applyAlignment="1">
      <alignment horizontal="left" vertical="center"/>
    </xf>
    <xf numFmtId="0" fontId="3" fillId="0" borderId="3" xfId="7" applyBorder="1"/>
    <xf numFmtId="0" fontId="3" fillId="0" borderId="33" xfId="7" applyBorder="1"/>
    <xf numFmtId="0" fontId="3" fillId="0" borderId="17" xfId="7" applyBorder="1"/>
    <xf numFmtId="0" fontId="4" fillId="0" borderId="20" xfId="7" applyFont="1" applyBorder="1" applyAlignment="1">
      <alignment horizontal="center" vertical="center"/>
    </xf>
    <xf numFmtId="0" fontId="4" fillId="0" borderId="19" xfId="7" applyFont="1" applyBorder="1" applyAlignment="1">
      <alignment horizontal="center" vertical="center"/>
    </xf>
    <xf numFmtId="0" fontId="3" fillId="13" borderId="51" xfId="7" applyFill="1" applyBorder="1" applyAlignment="1">
      <alignment vertical="center"/>
    </xf>
    <xf numFmtId="4" fontId="3" fillId="13" borderId="30" xfId="7" applyNumberFormat="1" applyFill="1" applyBorder="1" applyAlignment="1">
      <alignment vertical="center"/>
    </xf>
    <xf numFmtId="0" fontId="3" fillId="0" borderId="7" xfId="7" applyBorder="1"/>
    <xf numFmtId="0" fontId="3" fillId="13" borderId="7" xfId="7" applyFill="1" applyBorder="1"/>
    <xf numFmtId="0" fontId="3" fillId="0" borderId="51" xfId="7" applyBorder="1" applyAlignment="1">
      <alignment vertical="center"/>
    </xf>
    <xf numFmtId="4" fontId="3" fillId="0" borderId="30" xfId="7" applyNumberFormat="1" applyBorder="1" applyAlignment="1">
      <alignment vertical="center"/>
    </xf>
    <xf numFmtId="179" fontId="3" fillId="13" borderId="9" xfId="7" applyNumberFormat="1" applyFill="1" applyBorder="1"/>
    <xf numFmtId="179" fontId="3" fillId="0" borderId="9" xfId="7" applyNumberFormat="1" applyBorder="1"/>
    <xf numFmtId="4" fontId="3" fillId="0" borderId="9" xfId="7" applyNumberFormat="1" applyBorder="1"/>
    <xf numFmtId="0" fontId="4" fillId="0" borderId="40" xfId="7" applyFont="1" applyBorder="1" applyAlignment="1">
      <alignment horizontal="center" vertical="center"/>
    </xf>
    <xf numFmtId="0" fontId="4" fillId="0" borderId="20" xfId="7" applyFont="1" applyBorder="1" applyAlignment="1">
      <alignment horizontal="center"/>
    </xf>
    <xf numFmtId="0" fontId="4" fillId="0" borderId="19" xfId="7" applyFont="1" applyBorder="1" applyAlignment="1">
      <alignment horizontal="center"/>
    </xf>
    <xf numFmtId="179" fontId="3" fillId="0" borderId="19" xfId="7" applyNumberFormat="1" applyBorder="1" applyAlignment="1">
      <alignment vertical="center"/>
    </xf>
    <xf numFmtId="4" fontId="3" fillId="0" borderId="19" xfId="7" applyNumberFormat="1" applyBorder="1" applyAlignment="1">
      <alignment vertical="center"/>
    </xf>
    <xf numFmtId="0" fontId="3" fillId="0" borderId="51" xfId="7" applyBorder="1"/>
    <xf numFmtId="0" fontId="3" fillId="0" borderId="30" xfId="7" applyBorder="1"/>
    <xf numFmtId="4" fontId="3" fillId="13" borderId="7" xfId="7" applyNumberFormat="1" applyFill="1" applyBorder="1"/>
    <xf numFmtId="179" fontId="3" fillId="13" borderId="7" xfId="7" applyNumberFormat="1" applyFill="1" applyBorder="1"/>
    <xf numFmtId="179" fontId="3" fillId="0" borderId="7" xfId="7" applyNumberFormat="1" applyBorder="1"/>
    <xf numFmtId="0" fontId="3" fillId="0" borderId="1" xfId="7" applyBorder="1" applyAlignment="1">
      <alignment horizontal="center"/>
    </xf>
    <xf numFmtId="0" fontId="3" fillId="0" borderId="2" xfId="7" applyBorder="1" applyAlignment="1">
      <alignment horizontal="center"/>
    </xf>
    <xf numFmtId="0" fontId="3" fillId="0" borderId="2" xfId="12" applyFont="1" applyBorder="1" applyAlignment="1">
      <alignment horizontal="left"/>
    </xf>
    <xf numFmtId="0" fontId="8" fillId="0" borderId="2" xfId="12" applyBorder="1"/>
    <xf numFmtId="0" fontId="8" fillId="0" borderId="0" xfId="12" applyAlignment="1">
      <alignment horizontal="left"/>
    </xf>
    <xf numFmtId="0" fontId="3" fillId="0" borderId="0" xfId="12" applyFont="1" applyAlignment="1">
      <alignment horizontal="left"/>
    </xf>
    <xf numFmtId="0" fontId="3" fillId="0" borderId="0" xfId="12" applyFont="1"/>
    <xf numFmtId="0" fontId="3" fillId="0" borderId="35" xfId="7" applyBorder="1"/>
    <xf numFmtId="0" fontId="3" fillId="9" borderId="25" xfId="7" applyFill="1" applyBorder="1"/>
    <xf numFmtId="0" fontId="4" fillId="0" borderId="56" xfId="7" applyFont="1" applyBorder="1" applyAlignment="1">
      <alignment horizontal="center"/>
    </xf>
    <xf numFmtId="0" fontId="4" fillId="0" borderId="26" xfId="7" applyFont="1" applyBorder="1" applyAlignment="1">
      <alignment horizontal="center"/>
    </xf>
    <xf numFmtId="0" fontId="4" fillId="0" borderId="24" xfId="7" applyFont="1" applyBorder="1" applyAlignment="1">
      <alignment horizontal="center"/>
    </xf>
    <xf numFmtId="0" fontId="3" fillId="0" borderId="50" xfId="7" applyBorder="1" applyAlignment="1">
      <alignment horizontal="center"/>
    </xf>
    <xf numFmtId="17" fontId="3" fillId="0" borderId="51" xfId="7" applyNumberFormat="1" applyBorder="1" applyAlignment="1">
      <alignment horizontal="right"/>
    </xf>
    <xf numFmtId="170" fontId="3" fillId="0" borderId="53" xfId="7" applyNumberFormat="1" applyBorder="1"/>
    <xf numFmtId="170" fontId="3" fillId="0" borderId="47" xfId="7" applyNumberFormat="1" applyBorder="1"/>
    <xf numFmtId="0" fontId="3" fillId="0" borderId="51" xfId="7" applyBorder="1" applyAlignment="1">
      <alignment horizontal="center"/>
    </xf>
    <xf numFmtId="0" fontId="3" fillId="14" borderId="53" xfId="7" applyFill="1" applyBorder="1"/>
    <xf numFmtId="0" fontId="3" fillId="14" borderId="38" xfId="7" applyFill="1" applyBorder="1"/>
    <xf numFmtId="0" fontId="3" fillId="14" borderId="29" xfId="7" applyFill="1" applyBorder="1"/>
    <xf numFmtId="0" fontId="3" fillId="14" borderId="67" xfId="7" applyFill="1" applyBorder="1"/>
    <xf numFmtId="0" fontId="4" fillId="0" borderId="50" xfId="7" applyFont="1" applyBorder="1" applyAlignment="1">
      <alignment horizontal="left"/>
    </xf>
    <xf numFmtId="0" fontId="3" fillId="0" borderId="15" xfId="7" applyBorder="1" applyAlignment="1">
      <alignment horizontal="center"/>
    </xf>
    <xf numFmtId="17" fontId="3" fillId="0" borderId="7" xfId="7" applyNumberFormat="1" applyBorder="1"/>
    <xf numFmtId="170" fontId="3" fillId="13" borderId="8" xfId="7" applyNumberFormat="1" applyFill="1" applyBorder="1"/>
    <xf numFmtId="170" fontId="3" fillId="0" borderId="42" xfId="7" applyNumberFormat="1" applyBorder="1" applyAlignment="1">
      <alignment horizontal="center"/>
    </xf>
    <xf numFmtId="186" fontId="3" fillId="13" borderId="7" xfId="7" applyNumberFormat="1" applyFill="1" applyBorder="1"/>
    <xf numFmtId="186" fontId="3" fillId="0" borderId="9" xfId="7" applyNumberFormat="1" applyBorder="1"/>
    <xf numFmtId="0" fontId="3" fillId="0" borderId="42" xfId="7" applyBorder="1" applyAlignment="1">
      <alignment horizontal="center"/>
    </xf>
    <xf numFmtId="170" fontId="3" fillId="0" borderId="42" xfId="7" applyNumberFormat="1" applyBorder="1"/>
    <xf numFmtId="0" fontId="3" fillId="0" borderId="16" xfId="7" applyBorder="1" applyAlignment="1">
      <alignment horizontal="center"/>
    </xf>
    <xf numFmtId="17" fontId="3" fillId="0" borderId="10" xfId="7" applyNumberFormat="1" applyBorder="1"/>
    <xf numFmtId="182" fontId="3" fillId="0" borderId="10" xfId="7" applyNumberFormat="1" applyBorder="1" applyAlignment="1">
      <alignment horizontal="center"/>
    </xf>
    <xf numFmtId="186" fontId="3" fillId="13" borderId="10" xfId="7" applyNumberFormat="1" applyFill="1" applyBorder="1"/>
    <xf numFmtId="186" fontId="3" fillId="0" borderId="12" xfId="7" applyNumberFormat="1" applyBorder="1"/>
    <xf numFmtId="186" fontId="3" fillId="0" borderId="20" xfId="7" applyNumberFormat="1" applyBorder="1"/>
    <xf numFmtId="186" fontId="4" fillId="0" borderId="19" xfId="7" applyNumberFormat="1" applyFont="1" applyBorder="1"/>
    <xf numFmtId="186" fontId="3" fillId="0" borderId="19" xfId="7" applyNumberFormat="1" applyBorder="1"/>
    <xf numFmtId="186" fontId="3" fillId="0" borderId="0" xfId="7" applyNumberFormat="1"/>
    <xf numFmtId="2" fontId="3" fillId="0" borderId="0" xfId="7" applyNumberFormat="1"/>
    <xf numFmtId="0" fontId="4" fillId="0" borderId="21" xfId="7" applyFont="1" applyBorder="1"/>
    <xf numFmtId="0" fontId="3" fillId="0" borderId="22" xfId="7" applyBorder="1"/>
    <xf numFmtId="37" fontId="14" fillId="0" borderId="33" xfId="7" applyNumberFormat="1" applyFont="1" applyBorder="1"/>
    <xf numFmtId="0" fontId="14" fillId="0" borderId="0" xfId="7" applyFont="1"/>
    <xf numFmtId="0" fontId="14" fillId="0" borderId="17" xfId="7" applyFont="1" applyBorder="1"/>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4" fillId="0" borderId="50" xfId="7" applyFont="1" applyBorder="1" applyAlignment="1">
      <alignment vertical="center"/>
    </xf>
    <xf numFmtId="0" fontId="4" fillId="0" borderId="15" xfId="7" applyFont="1" applyBorder="1" applyAlignment="1">
      <alignment vertical="center"/>
    </xf>
    <xf numFmtId="0" fontId="4" fillId="0" borderId="10" xfId="7" applyFont="1" applyBorder="1" applyAlignment="1">
      <alignment horizontal="center" vertical="top" wrapText="1"/>
    </xf>
    <xf numFmtId="0" fontId="4" fillId="0" borderId="10" xfId="7" applyFont="1" applyBorder="1" applyAlignment="1">
      <alignment horizontal="center" vertical="top"/>
    </xf>
    <xf numFmtId="0" fontId="3" fillId="14" borderId="51" xfId="7" applyFill="1" applyBorder="1"/>
    <xf numFmtId="0" fontId="3" fillId="14" borderId="30" xfId="7" applyFill="1" applyBorder="1" applyAlignment="1">
      <alignment horizontal="center"/>
    </xf>
    <xf numFmtId="0" fontId="3" fillId="13" borderId="7" xfId="7" applyFill="1" applyBorder="1" applyAlignment="1">
      <alignment horizontal="left"/>
    </xf>
    <xf numFmtId="0" fontId="3" fillId="13" borderId="7" xfId="7" applyFill="1" applyBorder="1" applyAlignment="1">
      <alignment horizontal="center"/>
    </xf>
    <xf numFmtId="0" fontId="3" fillId="13" borderId="9" xfId="7" applyFill="1" applyBorder="1" applyAlignment="1">
      <alignment horizontal="left"/>
    </xf>
    <xf numFmtId="0" fontId="3" fillId="13" borderId="57" xfId="7" applyFill="1" applyBorder="1" applyAlignment="1">
      <alignment horizontal="left"/>
    </xf>
    <xf numFmtId="0" fontId="3" fillId="13" borderId="57" xfId="7" applyFill="1" applyBorder="1" applyAlignment="1">
      <alignment horizontal="center"/>
    </xf>
    <xf numFmtId="0" fontId="3" fillId="13" borderId="59" xfId="7" applyFill="1" applyBorder="1" applyAlignment="1">
      <alignment horizontal="left"/>
    </xf>
    <xf numFmtId="0" fontId="28" fillId="0" borderId="82" xfId="7" applyFont="1" applyBorder="1"/>
    <xf numFmtId="0" fontId="8" fillId="0" borderId="0" xfId="7" applyFont="1" applyAlignment="1">
      <alignment horizontal="right"/>
    </xf>
    <xf numFmtId="0" fontId="8" fillId="13" borderId="67" xfId="7" applyFont="1" applyFill="1" applyBorder="1" applyAlignment="1">
      <alignment horizontal="right"/>
    </xf>
    <xf numFmtId="0" fontId="3" fillId="0" borderId="0" xfId="7" applyAlignment="1">
      <alignment vertical="center"/>
    </xf>
    <xf numFmtId="37" fontId="15" fillId="0" borderId="7" xfId="7" applyNumberFormat="1" applyFont="1" applyBorder="1" applyAlignment="1">
      <alignment horizontal="center" vertical="center"/>
    </xf>
    <xf numFmtId="0" fontId="4" fillId="0" borderId="14" xfId="7" applyFont="1" applyBorder="1" applyAlignment="1">
      <alignment vertical="center" wrapText="1"/>
    </xf>
    <xf numFmtId="0" fontId="4" fillId="0" borderId="4" xfId="7" applyFont="1" applyBorder="1" applyAlignment="1">
      <alignment vertical="center" wrapText="1"/>
    </xf>
    <xf numFmtId="0" fontId="3" fillId="0" borderId="4" xfId="7" applyBorder="1" applyAlignment="1">
      <alignment horizontal="center" vertical="center" wrapText="1"/>
    </xf>
    <xf numFmtId="4" fontId="3" fillId="0" borderId="4" xfId="7" applyNumberFormat="1" applyBorder="1" applyAlignment="1">
      <alignment horizontal="center" vertical="center" wrapText="1"/>
    </xf>
    <xf numFmtId="4" fontId="3" fillId="0" borderId="6" xfId="7" applyNumberFormat="1" applyBorder="1" applyAlignment="1">
      <alignment horizontal="center" vertical="center" wrapText="1"/>
    </xf>
    <xf numFmtId="0" fontId="3" fillId="0" borderId="7" xfId="7" applyBorder="1" applyAlignment="1">
      <alignment vertical="center" wrapText="1"/>
    </xf>
    <xf numFmtId="4" fontId="3" fillId="0" borderId="7" xfId="7" applyNumberFormat="1" applyBorder="1" applyAlignment="1">
      <alignment horizontal="center" vertical="center" wrapText="1"/>
    </xf>
    <xf numFmtId="4" fontId="3" fillId="0" borderId="9" xfId="7" applyNumberFormat="1" applyBorder="1" applyAlignment="1">
      <alignment horizontal="center" vertical="center" wrapText="1"/>
    </xf>
    <xf numFmtId="0" fontId="3" fillId="0" borderId="23" xfId="7" applyBorder="1"/>
    <xf numFmtId="0" fontId="4" fillId="0" borderId="56" xfId="7" applyFont="1" applyBorder="1" applyAlignment="1">
      <alignment vertical="top" wrapText="1"/>
    </xf>
    <xf numFmtId="0" fontId="4" fillId="0" borderId="20" xfId="7" applyFont="1" applyBorder="1" applyAlignment="1">
      <alignment vertical="top" wrapText="1"/>
    </xf>
    <xf numFmtId="0" fontId="4" fillId="0" borderId="19" xfId="7" applyFont="1" applyBorder="1" applyAlignment="1">
      <alignment horizontal="center" vertical="top" wrapText="1"/>
    </xf>
    <xf numFmtId="0" fontId="4" fillId="0" borderId="26" xfId="7" applyFont="1" applyBorder="1" applyAlignment="1">
      <alignment horizontal="center" vertical="top" wrapText="1"/>
    </xf>
    <xf numFmtId="0" fontId="4" fillId="0" borderId="5" xfId="7" applyFont="1" applyBorder="1" applyAlignment="1">
      <alignment vertical="center" wrapText="1"/>
    </xf>
    <xf numFmtId="0" fontId="3" fillId="0" borderId="8" xfId="7" applyBorder="1" applyAlignment="1">
      <alignment vertical="center" wrapText="1"/>
    </xf>
    <xf numFmtId="0" fontId="3" fillId="0" borderId="49" xfId="7" applyBorder="1" applyAlignment="1">
      <alignment horizontal="center" vertical="center" wrapText="1"/>
    </xf>
    <xf numFmtId="0" fontId="3" fillId="0" borderId="42" xfId="7" applyBorder="1" applyAlignment="1">
      <alignment horizontal="center" vertical="center" wrapText="1"/>
    </xf>
    <xf numFmtId="0" fontId="4" fillId="0" borderId="56" xfId="7" applyFont="1" applyBorder="1" applyAlignment="1">
      <alignment horizontal="center" vertical="top" wrapText="1"/>
    </xf>
    <xf numFmtId="0" fontId="4" fillId="0" borderId="20" xfId="7" applyFont="1" applyBorder="1" applyAlignment="1">
      <alignment horizontal="center" vertical="top" wrapText="1"/>
    </xf>
    <xf numFmtId="0" fontId="3" fillId="0" borderId="14" xfId="7" applyBorder="1" applyAlignment="1">
      <alignment horizontal="center" vertical="center" wrapText="1"/>
    </xf>
    <xf numFmtId="0" fontId="3" fillId="0" borderId="6" xfId="7" applyBorder="1" applyAlignment="1">
      <alignment horizontal="center" vertical="center" wrapText="1"/>
    </xf>
    <xf numFmtId="4" fontId="3" fillId="0" borderId="15" xfId="7" applyNumberFormat="1" applyBorder="1" applyAlignment="1">
      <alignment horizontal="center" vertical="center" wrapText="1"/>
    </xf>
    <xf numFmtId="17" fontId="19" fillId="0" borderId="10" xfId="7" applyNumberFormat="1" applyFont="1" applyBorder="1" applyAlignment="1">
      <alignment horizontal="center"/>
    </xf>
    <xf numFmtId="17" fontId="12" fillId="0" borderId="0" xfId="7" applyNumberFormat="1" applyFont="1"/>
    <xf numFmtId="0" fontId="18" fillId="0" borderId="40" xfId="7" applyFont="1" applyBorder="1"/>
    <xf numFmtId="0" fontId="18" fillId="0" borderId="41" xfId="7" applyFont="1" applyBorder="1"/>
    <xf numFmtId="174" fontId="13" fillId="0" borderId="8" xfId="7" applyNumberFormat="1" applyFont="1" applyBorder="1" applyAlignment="1">
      <alignment horizontal="left"/>
    </xf>
    <xf numFmtId="175" fontId="13" fillId="0" borderId="11" xfId="7" applyNumberFormat="1" applyFont="1" applyBorder="1" applyAlignment="1">
      <alignment horizontal="left" vertical="center"/>
    </xf>
    <xf numFmtId="175" fontId="13" fillId="0" borderId="32" xfId="7" applyNumberFormat="1" applyFont="1" applyBorder="1" applyAlignment="1">
      <alignment horizontal="left" vertical="center"/>
    </xf>
    <xf numFmtId="0" fontId="18" fillId="0" borderId="32" xfId="7" applyFont="1" applyBorder="1"/>
    <xf numFmtId="0" fontId="18" fillId="0" borderId="43" xfId="7" applyFont="1" applyBorder="1"/>
    <xf numFmtId="175" fontId="13" fillId="0" borderId="40" xfId="7" applyNumberFormat="1" applyFont="1" applyBorder="1" applyAlignment="1">
      <alignment horizontal="left"/>
    </xf>
    <xf numFmtId="37" fontId="13" fillId="0" borderId="5" xfId="7" applyNumberFormat="1" applyFont="1" applyBorder="1" applyAlignment="1">
      <alignment horizontal="left" vertical="center"/>
    </xf>
    <xf numFmtId="0" fontId="18" fillId="0" borderId="37" xfId="7" applyFont="1" applyBorder="1"/>
    <xf numFmtId="0" fontId="18" fillId="0" borderId="38" xfId="7" applyFont="1" applyBorder="1"/>
    <xf numFmtId="0" fontId="19" fillId="6" borderId="25" xfId="7" applyFont="1" applyFill="1" applyBorder="1" applyAlignment="1">
      <alignment horizontal="center"/>
    </xf>
    <xf numFmtId="174" fontId="20" fillId="6" borderId="71" xfId="11" applyNumberFormat="1" applyFont="1" applyFill="1" applyBorder="1" applyAlignment="1">
      <alignment vertical="center"/>
    </xf>
    <xf numFmtId="174" fontId="20" fillId="6" borderId="71" xfId="11" applyNumberFormat="1" applyFont="1" applyFill="1" applyBorder="1"/>
    <xf numFmtId="174" fontId="20" fillId="6" borderId="65" xfId="7" applyNumberFormat="1" applyFont="1" applyFill="1" applyBorder="1" applyAlignment="1">
      <alignment vertical="center"/>
    </xf>
    <xf numFmtId="0" fontId="19" fillId="6" borderId="65" xfId="7" applyFont="1" applyFill="1" applyBorder="1" applyAlignment="1">
      <alignment horizontal="center"/>
    </xf>
    <xf numFmtId="0" fontId="19" fillId="6" borderId="10" xfId="7" applyFont="1" applyFill="1" applyBorder="1" applyAlignment="1">
      <alignment horizontal="center"/>
    </xf>
    <xf numFmtId="174" fontId="8" fillId="6" borderId="52" xfId="11" applyNumberFormat="1" applyFont="1" applyFill="1" applyBorder="1" applyAlignment="1">
      <alignment vertical="center"/>
    </xf>
    <xf numFmtId="174" fontId="8" fillId="6" borderId="55" xfId="11" applyNumberFormat="1" applyFont="1" applyFill="1" applyBorder="1" applyAlignment="1">
      <alignment vertical="center"/>
    </xf>
    <xf numFmtId="174" fontId="21" fillId="6" borderId="52" xfId="11" applyNumberFormat="1" applyFont="1" applyFill="1" applyBorder="1" applyAlignment="1">
      <alignment vertical="center"/>
    </xf>
    <xf numFmtId="174" fontId="8" fillId="6" borderId="51" xfId="11" applyNumberFormat="1" applyFont="1" applyFill="1" applyBorder="1" applyAlignment="1">
      <alignment vertical="center"/>
    </xf>
    <xf numFmtId="174" fontId="8" fillId="6" borderId="52" xfId="11" applyNumberFormat="1" applyFont="1" applyFill="1" applyBorder="1"/>
    <xf numFmtId="174" fontId="8" fillId="6" borderId="55" xfId="11" applyNumberFormat="1" applyFont="1" applyFill="1" applyBorder="1"/>
    <xf numFmtId="174" fontId="20" fillId="0" borderId="86" xfId="11" applyNumberFormat="1" applyFont="1" applyFill="1" applyBorder="1"/>
    <xf numFmtId="174" fontId="20" fillId="0" borderId="25" xfId="7" applyNumberFormat="1" applyFont="1" applyBorder="1" applyAlignment="1">
      <alignment vertical="center"/>
    </xf>
    <xf numFmtId="165" fontId="8" fillId="0" borderId="79" xfId="7" applyNumberFormat="1" applyFont="1" applyBorder="1" applyAlignment="1">
      <alignment vertical="center"/>
    </xf>
    <xf numFmtId="165" fontId="8" fillId="0" borderId="55" xfId="7" applyNumberFormat="1" applyFont="1" applyBorder="1" applyAlignment="1">
      <alignment vertical="center"/>
    </xf>
    <xf numFmtId="174" fontId="20" fillId="0" borderId="58" xfId="11" applyNumberFormat="1" applyFont="1" applyFill="1" applyBorder="1"/>
    <xf numFmtId="174" fontId="20" fillId="0" borderId="87" xfId="11" applyNumberFormat="1" applyFont="1" applyBorder="1" applyAlignment="1">
      <alignment vertical="center"/>
    </xf>
    <xf numFmtId="165" fontId="20" fillId="0" borderId="87" xfId="7" applyNumberFormat="1" applyFont="1" applyBorder="1" applyAlignment="1">
      <alignment vertical="center"/>
    </xf>
    <xf numFmtId="0" fontId="20" fillId="0" borderId="66" xfId="7" applyFont="1" applyBorder="1" applyAlignment="1">
      <alignment horizontal="center" vertical="center"/>
    </xf>
    <xf numFmtId="0" fontId="20" fillId="0" borderId="35" xfId="7" applyFont="1" applyBorder="1" applyAlignment="1">
      <alignment horizontal="center"/>
    </xf>
    <xf numFmtId="2" fontId="12" fillId="0" borderId="61" xfId="7" applyNumberFormat="1" applyFont="1" applyBorder="1" applyAlignment="1">
      <alignment horizontal="center" vertical="center"/>
    </xf>
    <xf numFmtId="0" fontId="4" fillId="0" borderId="34" xfId="7" applyFont="1" applyBorder="1" applyAlignment="1">
      <alignment horizontal="left"/>
    </xf>
    <xf numFmtId="0" fontId="14" fillId="0" borderId="34" xfId="7" applyFont="1" applyBorder="1"/>
    <xf numFmtId="0" fontId="14" fillId="0" borderId="25" xfId="7" applyFont="1" applyBorder="1"/>
    <xf numFmtId="0" fontId="14" fillId="0" borderId="35" xfId="7" applyFont="1" applyBorder="1"/>
    <xf numFmtId="0" fontId="4" fillId="0" borderId="15" xfId="7" applyFont="1" applyBorder="1" applyAlignment="1">
      <alignment horizontal="center"/>
    </xf>
    <xf numFmtId="0" fontId="3" fillId="0" borderId="29" xfId="7" applyBorder="1" applyAlignment="1">
      <alignment vertical="center"/>
    </xf>
    <xf numFmtId="0" fontId="3" fillId="0" borderId="47" xfId="7" applyBorder="1" applyAlignment="1">
      <alignment vertical="center"/>
    </xf>
    <xf numFmtId="37" fontId="15" fillId="0" borderId="7" xfId="7" applyNumberFormat="1" applyFont="1" applyBorder="1" applyAlignment="1">
      <alignment horizontal="left" vertical="center"/>
    </xf>
    <xf numFmtId="0" fontId="12" fillId="0" borderId="0" xfId="7" applyFont="1" applyAlignment="1">
      <alignment horizontal="left"/>
    </xf>
    <xf numFmtId="177" fontId="12" fillId="0" borderId="54" xfId="7" applyNumberFormat="1" applyFont="1" applyBorder="1" applyAlignment="1">
      <alignment horizontal="right"/>
    </xf>
    <xf numFmtId="10" fontId="12" fillId="0" borderId="54" xfId="7" applyNumberFormat="1" applyFont="1" applyBorder="1" applyAlignment="1">
      <alignment horizontal="right"/>
    </xf>
    <xf numFmtId="0" fontId="12" fillId="0" borderId="47" xfId="7" applyFont="1" applyBorder="1" applyAlignment="1">
      <alignment horizontal="left"/>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19" xfId="7" applyFont="1" applyBorder="1" applyAlignment="1">
      <alignment horizontal="center" vertical="center" wrapText="1"/>
    </xf>
    <xf numFmtId="4" fontId="3" fillId="0" borderId="56" xfId="7" applyNumberFormat="1" applyBorder="1" applyAlignment="1">
      <alignment horizontal="center" vertical="center" wrapText="1"/>
    </xf>
    <xf numFmtId="4" fontId="3" fillId="0" borderId="20" xfId="7" applyNumberFormat="1" applyBorder="1" applyAlignment="1">
      <alignment horizontal="center" vertical="center" wrapText="1"/>
    </xf>
    <xf numFmtId="4" fontId="3" fillId="0" borderId="19" xfId="7" applyNumberFormat="1" applyBorder="1" applyAlignment="1">
      <alignment horizontal="center" vertical="center" wrapText="1"/>
    </xf>
    <xf numFmtId="4" fontId="3" fillId="13" borderId="7" xfId="7" applyNumberFormat="1" applyFill="1" applyBorder="1" applyAlignment="1" applyProtection="1">
      <alignment horizontal="center" vertical="center" wrapText="1"/>
      <protection locked="0"/>
    </xf>
    <xf numFmtId="0" fontId="4" fillId="0" borderId="21" xfId="7" applyFont="1" applyBorder="1" applyAlignment="1">
      <alignment vertical="center"/>
    </xf>
    <xf numFmtId="0" fontId="3" fillId="0" borderId="22" xfId="7" applyBorder="1" applyAlignment="1">
      <alignment vertical="center"/>
    </xf>
    <xf numFmtId="0" fontId="3" fillId="0" borderId="23" xfId="7" applyBorder="1" applyAlignment="1">
      <alignment vertical="center"/>
    </xf>
    <xf numFmtId="0" fontId="4" fillId="0" borderId="56" xfId="7" applyFont="1" applyBorder="1" applyAlignment="1">
      <alignment vertical="center" wrapText="1"/>
    </xf>
    <xf numFmtId="0" fontId="4" fillId="0" borderId="20" xfId="7" applyFont="1" applyBorder="1" applyAlignment="1">
      <alignment vertical="center" wrapText="1"/>
    </xf>
    <xf numFmtId="0" fontId="4" fillId="0" borderId="26" xfId="7" applyFont="1" applyBorder="1" applyAlignment="1">
      <alignment horizontal="center" vertical="center" wrapText="1"/>
    </xf>
    <xf numFmtId="4" fontId="4" fillId="0" borderId="24" xfId="7" applyNumberFormat="1" applyFont="1" applyBorder="1" applyAlignment="1">
      <alignment horizontal="center" vertical="center" wrapText="1"/>
    </xf>
    <xf numFmtId="4" fontId="3" fillId="0" borderId="49" xfId="7" applyNumberFormat="1" applyBorder="1" applyAlignment="1">
      <alignment horizontal="center" vertical="center" wrapText="1"/>
    </xf>
    <xf numFmtId="0" fontId="3" fillId="0" borderId="6" xfId="7" applyBorder="1" applyAlignment="1">
      <alignment vertical="center"/>
    </xf>
    <xf numFmtId="0" fontId="3" fillId="0" borderId="15" xfId="7" applyBorder="1" applyAlignment="1">
      <alignment horizontal="right" vertical="center" wrapText="1"/>
    </xf>
    <xf numFmtId="4" fontId="3" fillId="0" borderId="42" xfId="7" applyNumberFormat="1" applyBorder="1" applyAlignment="1">
      <alignment horizontal="center" vertical="center" wrapText="1"/>
    </xf>
    <xf numFmtId="4" fontId="3" fillId="0" borderId="9" xfId="7" applyNumberFormat="1" applyBorder="1" applyAlignment="1">
      <alignment horizontal="center" vertical="center"/>
    </xf>
    <xf numFmtId="4" fontId="3" fillId="0" borderId="24" xfId="7" applyNumberFormat="1" applyBorder="1" applyAlignment="1">
      <alignment horizontal="center" vertical="center" wrapText="1"/>
    </xf>
    <xf numFmtId="4" fontId="3" fillId="0" borderId="0" xfId="7" applyNumberFormat="1" applyAlignment="1">
      <alignment vertical="center"/>
    </xf>
    <xf numFmtId="0" fontId="14" fillId="0" borderId="33" xfId="7" applyFont="1" applyBorder="1" applyAlignment="1">
      <alignment horizontal="center" vertical="center"/>
    </xf>
    <xf numFmtId="0" fontId="14" fillId="0" borderId="17" xfId="7" applyFont="1" applyBorder="1" applyAlignment="1">
      <alignment horizontal="center" vertical="center"/>
    </xf>
    <xf numFmtId="0" fontId="4" fillId="0" borderId="5" xfId="7" applyFont="1" applyBorder="1" applyAlignment="1">
      <alignment horizontal="center"/>
    </xf>
    <xf numFmtId="0" fontId="3" fillId="0" borderId="8" xfId="7" applyBorder="1" applyAlignment="1">
      <alignment horizontal="center"/>
    </xf>
    <xf numFmtId="0" fontId="4" fillId="0" borderId="22" xfId="7" applyFont="1" applyBorder="1" applyAlignment="1">
      <alignment horizontal="center"/>
    </xf>
    <xf numFmtId="0" fontId="3" fillId="0" borderId="0" xfId="7" applyAlignment="1">
      <alignment horizontal="center"/>
    </xf>
    <xf numFmtId="10" fontId="3" fillId="0" borderId="42" xfId="2" applyNumberFormat="1" applyFont="1" applyFill="1" applyBorder="1" applyAlignment="1" applyProtection="1">
      <alignment horizontal="center" vertical="center" wrapText="1"/>
    </xf>
    <xf numFmtId="0" fontId="4" fillId="0" borderId="0" xfId="7" applyFont="1" applyAlignment="1">
      <alignment vertical="center"/>
    </xf>
    <xf numFmtId="0" fontId="3" fillId="0" borderId="33" xfId="7" applyBorder="1" applyAlignment="1">
      <alignment vertical="center"/>
    </xf>
    <xf numFmtId="4" fontId="3" fillId="0" borderId="51" xfId="7" applyNumberFormat="1" applyBorder="1" applyAlignment="1">
      <alignment horizontal="center" vertical="center" wrapText="1"/>
    </xf>
    <xf numFmtId="4" fontId="3" fillId="0" borderId="30" xfId="7" applyNumberFormat="1" applyBorder="1" applyAlignment="1">
      <alignment horizontal="center" vertical="center" wrapText="1"/>
    </xf>
    <xf numFmtId="4" fontId="3" fillId="0" borderId="47" xfId="7" applyNumberFormat="1" applyBorder="1" applyAlignment="1">
      <alignment horizontal="center" vertical="center" wrapText="1"/>
    </xf>
    <xf numFmtId="0" fontId="4" fillId="0" borderId="6" xfId="7" applyFont="1" applyBorder="1" applyAlignment="1">
      <alignment horizontal="center" vertical="center" wrapText="1"/>
    </xf>
    <xf numFmtId="0" fontId="4" fillId="0" borderId="14" xfId="7" applyFont="1" applyBorder="1" applyAlignment="1">
      <alignment horizontal="center" vertical="center" wrapText="1"/>
    </xf>
    <xf numFmtId="0" fontId="4" fillId="0" borderId="26" xfId="7" applyFont="1" applyBorder="1" applyAlignment="1">
      <alignment vertical="center" wrapText="1"/>
    </xf>
    <xf numFmtId="0" fontId="3" fillId="0" borderId="47" xfId="7" applyBorder="1" applyAlignment="1">
      <alignment horizontal="left"/>
    </xf>
    <xf numFmtId="0" fontId="3" fillId="13" borderId="42" xfId="7" applyFill="1" applyBorder="1" applyAlignment="1">
      <alignment horizontal="left"/>
    </xf>
    <xf numFmtId="0" fontId="3" fillId="13" borderId="46" xfId="7" applyFill="1" applyBorder="1" applyAlignment="1">
      <alignment horizontal="left"/>
    </xf>
    <xf numFmtId="0" fontId="28" fillId="0" borderId="89" xfId="7" applyFont="1" applyBorder="1"/>
    <xf numFmtId="0" fontId="3" fillId="0" borderId="90" xfId="7" applyBorder="1" applyAlignment="1">
      <alignment horizontal="center"/>
    </xf>
    <xf numFmtId="0" fontId="3" fillId="0" borderId="92" xfId="7" applyBorder="1" applyAlignment="1">
      <alignment horizontal="center"/>
    </xf>
    <xf numFmtId="0" fontId="3" fillId="14" borderId="22" xfId="7" applyFill="1" applyBorder="1"/>
    <xf numFmtId="0" fontId="3" fillId="0" borderId="20" xfId="7" applyBorder="1" applyAlignment="1">
      <alignment horizontal="center"/>
    </xf>
    <xf numFmtId="170" fontId="3" fillId="0" borderId="81" xfId="7" applyNumberFormat="1" applyBorder="1" applyAlignment="1">
      <alignment horizontal="center"/>
    </xf>
    <xf numFmtId="170" fontId="3" fillId="13" borderId="11" xfId="7" applyNumberFormat="1" applyFill="1" applyBorder="1"/>
    <xf numFmtId="0" fontId="14" fillId="0" borderId="60" xfId="12" applyFont="1" applyBorder="1" applyAlignment="1">
      <alignment horizontal="center"/>
    </xf>
    <xf numFmtId="0" fontId="3" fillId="0" borderId="52" xfId="7" applyBorder="1" applyAlignment="1">
      <alignment horizontal="center"/>
    </xf>
    <xf numFmtId="0" fontId="12" fillId="0" borderId="65" xfId="7" applyFont="1" applyBorder="1" applyAlignment="1">
      <alignment horizontal="center"/>
    </xf>
    <xf numFmtId="179" fontId="12" fillId="0" borderId="53" xfId="12" applyNumberFormat="1" applyFont="1" applyBorder="1" applyProtection="1">
      <protection locked="0"/>
    </xf>
    <xf numFmtId="179" fontId="12" fillId="0" borderId="44" xfId="12" applyNumberFormat="1" applyFont="1" applyBorder="1" applyProtection="1">
      <protection locked="0"/>
    </xf>
    <xf numFmtId="179" fontId="12" fillId="0" borderId="5" xfId="12" applyNumberFormat="1" applyFont="1" applyBorder="1" applyProtection="1">
      <protection locked="0"/>
    </xf>
    <xf numFmtId="0" fontId="14" fillId="0" borderId="84" xfId="12" applyFont="1" applyBorder="1" applyAlignment="1">
      <alignment horizontal="center"/>
    </xf>
    <xf numFmtId="0" fontId="14" fillId="0" borderId="85" xfId="12" applyFont="1" applyBorder="1" applyAlignment="1">
      <alignment horizontal="center"/>
    </xf>
    <xf numFmtId="0" fontId="14" fillId="0" borderId="83" xfId="12" applyFont="1" applyBorder="1" applyAlignment="1">
      <alignment horizontal="center"/>
    </xf>
    <xf numFmtId="4" fontId="12" fillId="0" borderId="88" xfId="12" applyNumberFormat="1" applyFont="1" applyBorder="1" applyProtection="1">
      <protection locked="0"/>
    </xf>
    <xf numFmtId="4" fontId="12" fillId="0" borderId="89" xfId="12" applyNumberFormat="1" applyFont="1" applyBorder="1" applyProtection="1">
      <protection locked="0"/>
    </xf>
    <xf numFmtId="4" fontId="12" fillId="0" borderId="90" xfId="12" applyNumberFormat="1" applyFont="1" applyBorder="1" applyProtection="1">
      <protection locked="0"/>
    </xf>
    <xf numFmtId="4" fontId="12" fillId="0" borderId="85" xfId="12" applyNumberFormat="1" applyFont="1" applyBorder="1" applyProtection="1">
      <protection locked="0"/>
    </xf>
    <xf numFmtId="4" fontId="12" fillId="0" borderId="92" xfId="12" applyNumberFormat="1" applyFont="1" applyBorder="1" applyProtection="1">
      <protection locked="0"/>
    </xf>
    <xf numFmtId="4" fontId="12" fillId="0" borderId="91" xfId="12" applyNumberFormat="1" applyFont="1" applyBorder="1" applyProtection="1">
      <protection locked="0"/>
    </xf>
    <xf numFmtId="179" fontId="30" fillId="0" borderId="53" xfId="12" applyNumberFormat="1" applyFont="1" applyBorder="1" applyProtection="1">
      <protection locked="0"/>
    </xf>
    <xf numFmtId="4" fontId="30" fillId="0" borderId="7" xfId="12" applyNumberFormat="1" applyFont="1" applyBorder="1" applyProtection="1">
      <protection locked="0"/>
    </xf>
    <xf numFmtId="168" fontId="30" fillId="0" borderId="7" xfId="2" applyNumberFormat="1" applyFont="1" applyFill="1" applyBorder="1" applyAlignment="1" applyProtection="1">
      <alignment horizontal="center"/>
      <protection locked="0"/>
    </xf>
    <xf numFmtId="168" fontId="30" fillId="0" borderId="8" xfId="2" applyNumberFormat="1" applyFont="1" applyBorder="1" applyAlignment="1" applyProtection="1">
      <alignment horizontal="center"/>
      <protection locked="0"/>
    </xf>
    <xf numFmtId="0" fontId="12" fillId="0" borderId="0" xfId="12" applyFont="1" applyAlignment="1">
      <alignment horizontal="right"/>
    </xf>
    <xf numFmtId="0" fontId="12" fillId="0" borderId="14" xfId="12" applyFont="1" applyBorder="1" applyAlignment="1">
      <alignment horizontal="center"/>
    </xf>
    <xf numFmtId="0" fontId="12" fillId="0" borderId="37" xfId="12" applyFont="1" applyBorder="1"/>
    <xf numFmtId="0" fontId="12" fillId="0" borderId="4" xfId="12" applyFont="1" applyBorder="1" applyAlignment="1">
      <alignment horizontal="center"/>
    </xf>
    <xf numFmtId="4" fontId="14" fillId="0" borderId="20" xfId="12" applyNumberFormat="1" applyFont="1" applyBorder="1" applyAlignment="1" applyProtection="1">
      <alignment vertical="center"/>
      <protection locked="0"/>
    </xf>
    <xf numFmtId="179" fontId="14" fillId="0" borderId="20" xfId="12" applyNumberFormat="1" applyFont="1" applyBorder="1" applyAlignment="1" applyProtection="1">
      <alignment vertical="center"/>
      <protection locked="0"/>
    </xf>
    <xf numFmtId="179" fontId="14" fillId="0" borderId="26" xfId="12" applyNumberFormat="1" applyFont="1" applyBorder="1" applyAlignment="1" applyProtection="1">
      <alignment vertical="center"/>
      <protection locked="0"/>
    </xf>
    <xf numFmtId="4" fontId="14" fillId="0" borderId="82" xfId="12" applyNumberFormat="1" applyFont="1" applyBorder="1" applyAlignment="1" applyProtection="1">
      <alignment vertical="center"/>
      <protection locked="0"/>
    </xf>
    <xf numFmtId="4" fontId="12" fillId="0" borderId="7" xfId="12" applyNumberFormat="1" applyFont="1" applyBorder="1"/>
    <xf numFmtId="179" fontId="33" fillId="0" borderId="7" xfId="12" applyNumberFormat="1" applyFont="1" applyBorder="1" applyProtection="1">
      <protection locked="0"/>
    </xf>
    <xf numFmtId="179" fontId="33" fillId="0" borderId="57" xfId="12" applyNumberFormat="1" applyFont="1" applyBorder="1" applyProtection="1">
      <protection locked="0"/>
    </xf>
    <xf numFmtId="179" fontId="33" fillId="0" borderId="8" xfId="12" applyNumberFormat="1" applyFont="1" applyBorder="1" applyProtection="1">
      <protection locked="0"/>
    </xf>
    <xf numFmtId="179" fontId="30" fillId="0" borderId="7" xfId="12" applyNumberFormat="1" applyFont="1" applyBorder="1" applyProtection="1">
      <protection locked="0"/>
    </xf>
    <xf numFmtId="179" fontId="30" fillId="0" borderId="57" xfId="12" applyNumberFormat="1" applyFont="1" applyBorder="1"/>
    <xf numFmtId="179" fontId="30" fillId="0" borderId="8" xfId="12" applyNumberFormat="1" applyFont="1" applyBorder="1" applyProtection="1">
      <protection locked="0"/>
    </xf>
    <xf numFmtId="0" fontId="3" fillId="17" borderId="15" xfId="7" applyFill="1" applyBorder="1" applyAlignment="1">
      <alignment vertical="center" wrapText="1"/>
    </xf>
    <xf numFmtId="0" fontId="3" fillId="17" borderId="15" xfId="7" applyFill="1" applyBorder="1" applyAlignment="1">
      <alignment horizontal="right" vertical="center" wrapText="1"/>
    </xf>
    <xf numFmtId="4" fontId="3" fillId="0" borderId="86" xfId="7" applyNumberFormat="1" applyBorder="1" applyAlignment="1">
      <alignment vertical="center"/>
    </xf>
    <xf numFmtId="4" fontId="3" fillId="0" borderId="40" xfId="7" applyNumberFormat="1" applyBorder="1" applyAlignment="1">
      <alignment horizontal="center"/>
    </xf>
    <xf numFmtId="179" fontId="3" fillId="0" borderId="42" xfId="7" applyNumberFormat="1" applyBorder="1" applyAlignment="1">
      <alignment horizontal="center"/>
    </xf>
    <xf numFmtId="184" fontId="3" fillId="0" borderId="7" xfId="7" applyNumberFormat="1" applyBorder="1"/>
    <xf numFmtId="0" fontId="3" fillId="9" borderId="7" xfId="7" applyFill="1" applyBorder="1" applyAlignment="1">
      <alignment vertical="center"/>
    </xf>
    <xf numFmtId="0" fontId="3" fillId="18" borderId="7" xfId="7" applyFill="1" applyBorder="1" applyAlignment="1">
      <alignment horizontal="center"/>
    </xf>
    <xf numFmtId="0" fontId="3" fillId="9" borderId="16" xfId="7" applyFill="1" applyBorder="1"/>
    <xf numFmtId="15" fontId="3" fillId="13" borderId="81" xfId="7" applyNumberFormat="1" applyFill="1" applyBorder="1"/>
    <xf numFmtId="0" fontId="3" fillId="9" borderId="10" xfId="7" applyFill="1" applyBorder="1" applyAlignment="1">
      <alignment vertical="center"/>
    </xf>
    <xf numFmtId="183" fontId="3" fillId="9" borderId="10" xfId="7" applyNumberFormat="1" applyFill="1" applyBorder="1" applyAlignment="1">
      <alignment horizontal="center"/>
    </xf>
    <xf numFmtId="0" fontId="3" fillId="18" borderId="10" xfId="7" applyFill="1" applyBorder="1" applyAlignment="1">
      <alignment horizontal="center"/>
    </xf>
    <xf numFmtId="43" fontId="3" fillId="13" borderId="11" xfId="7" applyNumberFormat="1" applyFill="1" applyBorder="1" applyAlignment="1">
      <alignment horizontal="right"/>
    </xf>
    <xf numFmtId="43" fontId="3" fillId="0" borderId="11" xfId="7" applyNumberFormat="1" applyBorder="1" applyAlignment="1">
      <alignment horizontal="right"/>
    </xf>
    <xf numFmtId="43" fontId="3" fillId="0" borderId="9" xfId="7" applyNumberFormat="1" applyBorder="1" applyAlignment="1">
      <alignment horizontal="right"/>
    </xf>
    <xf numFmtId="43" fontId="3" fillId="0" borderId="12" xfId="7" applyNumberFormat="1" applyBorder="1" applyAlignment="1">
      <alignment horizontal="right"/>
    </xf>
    <xf numFmtId="43" fontId="3" fillId="18" borderId="8" xfId="7" applyNumberFormat="1" applyFill="1" applyBorder="1" applyAlignment="1">
      <alignment horizontal="right"/>
    </xf>
    <xf numFmtId="43" fontId="3" fillId="18" borderId="44" xfId="7" applyNumberFormat="1" applyFill="1" applyBorder="1" applyAlignment="1">
      <alignment horizontal="right"/>
    </xf>
    <xf numFmtId="43" fontId="3" fillId="18" borderId="11" xfId="7" applyNumberFormat="1" applyFill="1" applyBorder="1" applyAlignment="1">
      <alignment horizontal="right"/>
    </xf>
    <xf numFmtId="183" fontId="3" fillId="0" borderId="0" xfId="7" applyNumberFormat="1" applyAlignment="1">
      <alignment horizontal="center"/>
    </xf>
    <xf numFmtId="182" fontId="3" fillId="0" borderId="0" xfId="7" applyNumberFormat="1" applyAlignment="1">
      <alignment horizontal="center"/>
    </xf>
    <xf numFmtId="43" fontId="3" fillId="0" borderId="0" xfId="7" applyNumberFormat="1" applyAlignment="1">
      <alignment horizontal="right"/>
    </xf>
    <xf numFmtId="43" fontId="3" fillId="0" borderId="65" xfId="7" applyNumberFormat="1" applyBorder="1" applyAlignment="1">
      <alignment horizontal="right"/>
    </xf>
    <xf numFmtId="0" fontId="4" fillId="0" borderId="22" xfId="7" applyFont="1" applyBorder="1" applyAlignment="1">
      <alignment horizontal="right" vertical="center"/>
    </xf>
    <xf numFmtId="43" fontId="3" fillId="0" borderId="22" xfId="7" applyNumberFormat="1" applyBorder="1" applyAlignment="1">
      <alignment horizontal="right"/>
    </xf>
    <xf numFmtId="167" fontId="4" fillId="0" borderId="4" xfId="7" applyNumberFormat="1" applyFont="1" applyBorder="1" applyAlignment="1">
      <alignment vertical="center"/>
    </xf>
    <xf numFmtId="167" fontId="4" fillId="0" borderId="6" xfId="7" applyNumberFormat="1" applyFont="1" applyBorder="1" applyAlignment="1">
      <alignment vertical="center"/>
    </xf>
    <xf numFmtId="43" fontId="4" fillId="0" borderId="10" xfId="7" applyNumberFormat="1" applyFont="1" applyBorder="1" applyAlignment="1">
      <alignment horizontal="right" vertical="center"/>
    </xf>
    <xf numFmtId="43" fontId="4" fillId="0" borderId="12" xfId="7" applyNumberFormat="1" applyFont="1" applyBorder="1" applyAlignment="1">
      <alignment horizontal="right" vertical="center"/>
    </xf>
    <xf numFmtId="0" fontId="3" fillId="17" borderId="0" xfId="7" applyFill="1" applyAlignment="1">
      <alignment vertical="center"/>
    </xf>
    <xf numFmtId="1" fontId="15" fillId="15" borderId="66" xfId="7" applyNumberFormat="1" applyFont="1" applyFill="1" applyBorder="1" applyAlignment="1">
      <alignment horizontal="center" vertical="center"/>
    </xf>
    <xf numFmtId="174" fontId="13" fillId="0" borderId="8" xfId="7" applyNumberFormat="1" applyFont="1" applyBorder="1" applyAlignment="1">
      <alignment horizontal="center"/>
    </xf>
    <xf numFmtId="37" fontId="20" fillId="0" borderId="7" xfId="7" applyNumberFormat="1" applyFont="1" applyBorder="1" applyAlignment="1">
      <alignment horizontal="center" vertical="center" shrinkToFit="1"/>
    </xf>
    <xf numFmtId="15" fontId="8" fillId="0" borderId="61" xfId="7" applyNumberFormat="1" applyFont="1" applyBorder="1" applyAlignment="1">
      <alignment horizontal="center" vertical="center"/>
    </xf>
    <xf numFmtId="0" fontId="3" fillId="0" borderId="93" xfId="7" applyBorder="1" applyAlignment="1">
      <alignment horizontal="center" vertical="center"/>
    </xf>
    <xf numFmtId="174" fontId="19" fillId="0" borderId="94" xfId="7" applyNumberFormat="1" applyFont="1" applyBorder="1" applyAlignment="1">
      <alignment horizontal="right"/>
    </xf>
    <xf numFmtId="174" fontId="19" fillId="0" borderId="95" xfId="7" applyNumberFormat="1" applyFont="1" applyBorder="1" applyAlignment="1">
      <alignment horizontal="right"/>
    </xf>
    <xf numFmtId="165" fontId="19" fillId="0" borderId="96" xfId="7" applyNumberFormat="1" applyFont="1" applyBorder="1" applyAlignment="1">
      <alignment horizontal="right"/>
    </xf>
    <xf numFmtId="1" fontId="15" fillId="0" borderId="66" xfId="7" applyNumberFormat="1" applyFont="1" applyBorder="1" applyAlignment="1">
      <alignment horizontal="center" vertical="center"/>
    </xf>
    <xf numFmtId="17" fontId="8" fillId="0" borderId="93" xfId="7" applyNumberFormat="1" applyFont="1" applyBorder="1" applyAlignment="1">
      <alignment horizontal="center" vertical="center"/>
    </xf>
    <xf numFmtId="17" fontId="20" fillId="0" borderId="70" xfId="7" applyNumberFormat="1" applyFont="1" applyBorder="1" applyAlignment="1">
      <alignment horizontal="center" vertical="center"/>
    </xf>
    <xf numFmtId="174" fontId="19" fillId="6" borderId="96" xfId="7" applyNumberFormat="1" applyFont="1" applyFill="1" applyBorder="1" applyAlignment="1">
      <alignment horizontal="right"/>
    </xf>
    <xf numFmtId="174" fontId="8" fillId="2" borderId="52" xfId="11" applyNumberFormat="1" applyFont="1" applyFill="1" applyBorder="1" applyAlignment="1">
      <alignment horizontal="right" vertical="center"/>
    </xf>
    <xf numFmtId="174" fontId="8" fillId="2" borderId="55" xfId="11" applyNumberFormat="1" applyFont="1" applyFill="1" applyBorder="1" applyAlignment="1">
      <alignment horizontal="right" vertical="center"/>
    </xf>
    <xf numFmtId="165" fontId="8" fillId="6" borderId="0" xfId="7" applyNumberFormat="1" applyFont="1" applyFill="1" applyAlignment="1">
      <alignment horizontal="right" vertical="center"/>
    </xf>
    <xf numFmtId="174" fontId="8" fillId="2" borderId="51" xfId="11" applyNumberFormat="1" applyFont="1" applyFill="1" applyBorder="1" applyAlignment="1">
      <alignment horizontal="right" vertical="center"/>
    </xf>
    <xf numFmtId="174" fontId="8" fillId="2" borderId="52" xfId="11" applyNumberFormat="1" applyFont="1" applyFill="1" applyBorder="1" applyAlignment="1">
      <alignment horizontal="right"/>
    </xf>
    <xf numFmtId="174" fontId="8" fillId="2" borderId="55" xfId="11" applyNumberFormat="1" applyFont="1" applyFill="1" applyBorder="1" applyAlignment="1">
      <alignment horizontal="right"/>
    </xf>
    <xf numFmtId="165" fontId="8" fillId="6" borderId="55" xfId="7" applyNumberFormat="1" applyFont="1" applyFill="1" applyBorder="1" applyAlignment="1">
      <alignment horizontal="right"/>
    </xf>
    <xf numFmtId="174" fontId="20" fillId="0" borderId="71" xfId="11" applyNumberFormat="1" applyFont="1" applyBorder="1" applyAlignment="1">
      <alignment vertical="center"/>
    </xf>
    <xf numFmtId="174" fontId="20" fillId="0" borderId="58" xfId="11" applyNumberFormat="1" applyFont="1" applyBorder="1" applyAlignment="1">
      <alignment vertical="center"/>
    </xf>
    <xf numFmtId="174" fontId="8" fillId="0" borderId="18" xfId="11" applyNumberFormat="1" applyFont="1" applyBorder="1" applyAlignment="1">
      <alignment vertical="center"/>
    </xf>
    <xf numFmtId="174" fontId="8" fillId="0" borderId="60" xfId="11" applyNumberFormat="1" applyFont="1" applyBorder="1" applyAlignment="1">
      <alignment vertical="center"/>
    </xf>
    <xf numFmtId="174" fontId="8" fillId="0" borderId="53" xfId="11" applyNumberFormat="1" applyFont="1" applyBorder="1" applyAlignment="1">
      <alignment vertical="center"/>
    </xf>
    <xf numFmtId="174" fontId="8" fillId="0" borderId="97" xfId="11" applyNumberFormat="1" applyFont="1" applyBorder="1" applyAlignment="1">
      <alignment vertical="center"/>
    </xf>
    <xf numFmtId="174" fontId="8" fillId="0" borderId="79" xfId="11" applyNumberFormat="1" applyFont="1" applyBorder="1" applyAlignment="1">
      <alignment vertical="center"/>
    </xf>
    <xf numFmtId="165" fontId="8" fillId="19" borderId="0" xfId="7" applyNumberFormat="1" applyFont="1" applyFill="1" applyAlignment="1">
      <alignment vertical="center"/>
    </xf>
    <xf numFmtId="165" fontId="8" fillId="19" borderId="55" xfId="7" applyNumberFormat="1" applyFont="1" applyFill="1" applyBorder="1"/>
    <xf numFmtId="0" fontId="15" fillId="0" borderId="66" xfId="7" applyFont="1" applyBorder="1" applyAlignment="1">
      <alignment horizontal="center" vertical="center"/>
    </xf>
    <xf numFmtId="17" fontId="8" fillId="0" borderId="98" xfId="7" applyNumberFormat="1" applyFont="1" applyBorder="1" applyAlignment="1">
      <alignment horizontal="center" vertical="center"/>
    </xf>
    <xf numFmtId="174" fontId="19" fillId="6" borderId="99" xfId="7" applyNumberFormat="1" applyFont="1" applyFill="1" applyBorder="1" applyAlignment="1">
      <alignment horizontal="center"/>
    </xf>
    <xf numFmtId="174" fontId="19" fillId="6" borderId="74" xfId="7" applyNumberFormat="1" applyFont="1" applyFill="1" applyBorder="1" applyAlignment="1">
      <alignment horizontal="center"/>
    </xf>
    <xf numFmtId="174" fontId="19" fillId="0" borderId="100" xfId="7" applyNumberFormat="1" applyFont="1" applyBorder="1" applyAlignment="1">
      <alignment horizontal="center"/>
    </xf>
    <xf numFmtId="174" fontId="19" fillId="0" borderId="74" xfId="7" applyNumberFormat="1" applyFont="1" applyBorder="1" applyAlignment="1">
      <alignment horizontal="center"/>
    </xf>
    <xf numFmtId="165" fontId="8" fillId="0" borderId="51" xfId="7" applyNumberFormat="1" applyFont="1" applyBorder="1" applyAlignment="1">
      <alignment vertical="center"/>
    </xf>
    <xf numFmtId="4" fontId="12" fillId="8" borderId="57" xfId="12" applyNumberFormat="1" applyFont="1" applyFill="1" applyBorder="1" applyProtection="1">
      <protection locked="0"/>
    </xf>
    <xf numFmtId="4" fontId="3" fillId="8" borderId="7" xfId="7" applyNumberFormat="1" applyFill="1" applyBorder="1" applyAlignment="1">
      <alignment horizontal="center"/>
    </xf>
    <xf numFmtId="188" fontId="4" fillId="0" borderId="40" xfId="7" applyNumberFormat="1" applyFont="1" applyBorder="1" applyAlignment="1">
      <alignment horizontal="left" vertical="center" wrapText="1"/>
    </xf>
    <xf numFmtId="4" fontId="3" fillId="20" borderId="7" xfId="7" applyNumberFormat="1" applyFill="1" applyBorder="1" applyAlignment="1">
      <alignment horizontal="center" vertical="center" wrapText="1"/>
    </xf>
    <xf numFmtId="4" fontId="3" fillId="8" borderId="7" xfId="7" applyNumberFormat="1" applyFill="1" applyBorder="1" applyAlignment="1">
      <alignment horizontal="center" vertical="center" wrapText="1"/>
    </xf>
    <xf numFmtId="170" fontId="3" fillId="18" borderId="53" xfId="7" applyNumberFormat="1" applyFill="1" applyBorder="1"/>
    <xf numFmtId="0" fontId="20" fillId="0" borderId="7" xfId="12" applyFont="1" applyBorder="1" applyAlignment="1">
      <alignment horizontal="center"/>
    </xf>
    <xf numFmtId="0" fontId="20" fillId="0" borderId="0" xfId="12" applyFont="1" applyAlignment="1">
      <alignment horizontal="center" vertical="center"/>
    </xf>
    <xf numFmtId="0" fontId="3" fillId="0" borderId="40" xfId="7" applyBorder="1"/>
    <xf numFmtId="166" fontId="3" fillId="0" borderId="4" xfId="7" applyNumberFormat="1" applyBorder="1" applyAlignment="1">
      <alignment vertical="center"/>
    </xf>
    <xf numFmtId="166" fontId="3" fillId="0" borderId="7" xfId="7" applyNumberFormat="1" applyBorder="1" applyAlignment="1">
      <alignment vertical="center"/>
    </xf>
    <xf numFmtId="1" fontId="0" fillId="0" borderId="7" xfId="6" applyNumberFormat="1" applyFont="1" applyFill="1" applyBorder="1" applyProtection="1"/>
    <xf numFmtId="167" fontId="3" fillId="0" borderId="9" xfId="7" applyNumberFormat="1" applyBorder="1"/>
    <xf numFmtId="168" fontId="3" fillId="0" borderId="0" xfId="2" applyNumberFormat="1" applyFont="1" applyProtection="1"/>
    <xf numFmtId="167" fontId="3" fillId="0" borderId="41" xfId="7" applyNumberFormat="1" applyBorder="1"/>
    <xf numFmtId="0" fontId="3" fillId="0" borderId="5" xfId="7" applyBorder="1"/>
    <xf numFmtId="0" fontId="3" fillId="0" borderId="5" xfId="7" applyBorder="1" applyAlignment="1">
      <alignment horizontal="right"/>
    </xf>
    <xf numFmtId="0" fontId="3" fillId="0" borderId="49" xfId="7" applyBorder="1" applyAlignment="1">
      <alignment horizontal="center"/>
    </xf>
    <xf numFmtId="179" fontId="3" fillId="0" borderId="6" xfId="7" applyNumberFormat="1" applyBorder="1"/>
    <xf numFmtId="0" fontId="3" fillId="0" borderId="57" xfId="7" applyBorder="1"/>
    <xf numFmtId="184" fontId="3" fillId="0" borderId="57" xfId="7" applyNumberFormat="1" applyBorder="1"/>
    <xf numFmtId="185" fontId="3" fillId="0" borderId="59" xfId="7" applyNumberFormat="1" applyBorder="1"/>
    <xf numFmtId="4" fontId="3" fillId="0" borderId="19" xfId="7" applyNumberFormat="1" applyBorder="1"/>
    <xf numFmtId="185" fontId="3" fillId="0" borderId="19" xfId="7" applyNumberFormat="1" applyBorder="1"/>
    <xf numFmtId="166" fontId="3" fillId="18" borderId="7" xfId="7" applyNumberFormat="1" applyFill="1" applyBorder="1" applyAlignment="1" applyProtection="1">
      <alignment vertical="center"/>
      <protection locked="0"/>
    </xf>
    <xf numFmtId="0" fontId="3" fillId="13" borderId="7" xfId="7" applyFill="1" applyBorder="1" applyProtection="1">
      <protection locked="0"/>
    </xf>
    <xf numFmtId="2" fontId="3" fillId="13" borderId="7" xfId="7" applyNumberFormat="1" applyFill="1" applyBorder="1" applyAlignment="1" applyProtection="1">
      <alignment horizontal="center"/>
      <protection locked="0"/>
    </xf>
    <xf numFmtId="167" fontId="3" fillId="18" borderId="7" xfId="7" applyNumberFormat="1" applyFill="1" applyBorder="1" applyProtection="1">
      <protection locked="0"/>
    </xf>
    <xf numFmtId="0" fontId="2" fillId="0" borderId="0" xfId="0" applyFont="1" applyAlignment="1">
      <alignment horizontal="center" vertical="center"/>
    </xf>
    <xf numFmtId="0" fontId="34" fillId="0" borderId="0" xfId="0" applyFont="1" applyAlignment="1">
      <alignment vertical="center"/>
    </xf>
    <xf numFmtId="0" fontId="12" fillId="0" borderId="33" xfId="7" applyFont="1" applyBorder="1" applyAlignment="1">
      <alignment horizontal="left"/>
    </xf>
    <xf numFmtId="0" fontId="14" fillId="0" borderId="33" xfId="7" applyFont="1" applyBorder="1" applyAlignment="1">
      <alignment horizontal="left" wrapText="1"/>
    </xf>
    <xf numFmtId="0" fontId="14" fillId="0" borderId="0" xfId="7" applyFont="1" applyAlignment="1">
      <alignment horizontal="left" wrapText="1"/>
    </xf>
    <xf numFmtId="0" fontId="12" fillId="0" borderId="17" xfId="7" applyFont="1" applyBorder="1" applyAlignment="1">
      <alignment horizontal="left"/>
    </xf>
    <xf numFmtId="0" fontId="12" fillId="0" borderId="61" xfId="7" applyFont="1" applyBorder="1" applyAlignment="1">
      <alignment horizontal="center"/>
    </xf>
    <xf numFmtId="0" fontId="14" fillId="0" borderId="17" xfId="7" applyFont="1" applyBorder="1" applyAlignment="1">
      <alignment horizontal="left" wrapText="1"/>
    </xf>
    <xf numFmtId="0" fontId="13" fillId="0" borderId="64" xfId="7" applyFont="1" applyBorder="1" applyAlignment="1">
      <alignment horizontal="right" vertical="center" wrapText="1"/>
    </xf>
    <xf numFmtId="179" fontId="33" fillId="0" borderId="7" xfId="12" applyNumberFormat="1" applyFont="1" applyBorder="1"/>
    <xf numFmtId="9" fontId="36" fillId="0" borderId="57" xfId="2" applyFont="1" applyFill="1" applyBorder="1" applyAlignment="1" applyProtection="1">
      <alignment horizontal="center"/>
    </xf>
    <xf numFmtId="9" fontId="36" fillId="21" borderId="57" xfId="2" applyFont="1" applyFill="1" applyBorder="1" applyAlignment="1" applyProtection="1">
      <alignment horizontal="center" vertical="center"/>
      <protection locked="0"/>
    </xf>
    <xf numFmtId="179" fontId="30" fillId="0" borderId="53" xfId="12" applyNumberFormat="1" applyFont="1" applyBorder="1"/>
    <xf numFmtId="4" fontId="12" fillId="0" borderId="89" xfId="12" applyNumberFormat="1" applyFont="1" applyBorder="1" applyAlignment="1">
      <alignment vertical="center"/>
    </xf>
    <xf numFmtId="9" fontId="37" fillId="21" borderId="57" xfId="2" applyFont="1" applyFill="1" applyBorder="1" applyAlignment="1" applyProtection="1">
      <alignment horizontal="center" vertical="center"/>
      <protection locked="0"/>
    </xf>
    <xf numFmtId="4" fontId="12" fillId="0" borderId="57" xfId="12" applyNumberFormat="1" applyFont="1" applyBorder="1" applyAlignment="1">
      <alignment vertical="center"/>
    </xf>
    <xf numFmtId="179" fontId="33" fillId="0" borderId="57" xfId="12" applyNumberFormat="1" applyFont="1" applyBorder="1" applyAlignment="1">
      <alignment vertical="center"/>
    </xf>
    <xf numFmtId="189" fontId="12" fillId="0" borderId="0" xfId="7" applyNumberFormat="1" applyFont="1"/>
    <xf numFmtId="0" fontId="6" fillId="0" borderId="0" xfId="0" applyFont="1" applyAlignment="1">
      <alignment horizontal="center" vertical="center"/>
    </xf>
    <xf numFmtId="0" fontId="6" fillId="0" borderId="0" xfId="0" applyFont="1" applyAlignment="1">
      <alignment vertical="center"/>
    </xf>
    <xf numFmtId="0" fontId="14" fillId="0" borderId="0" xfId="0" applyFont="1" applyAlignment="1">
      <alignment horizontal="left" vertical="center"/>
    </xf>
    <xf numFmtId="0" fontId="39" fillId="0" borderId="0" xfId="0" applyFont="1"/>
    <xf numFmtId="0" fontId="39" fillId="22" borderId="82" xfId="0" applyFont="1" applyFill="1" applyBorder="1" applyAlignment="1">
      <alignment horizontal="justify" vertical="center" wrapText="1"/>
    </xf>
    <xf numFmtId="0" fontId="39" fillId="22" borderId="23" xfId="0" applyFont="1" applyFill="1" applyBorder="1" applyAlignment="1">
      <alignment horizontal="justify" vertical="center" wrapText="1"/>
    </xf>
    <xf numFmtId="0" fontId="39" fillId="22" borderId="23" xfId="0" applyFont="1" applyFill="1" applyBorder="1" applyAlignment="1">
      <alignment horizontal="center" vertical="center" wrapText="1"/>
    </xf>
    <xf numFmtId="0" fontId="39" fillId="22" borderId="21" xfId="0" applyFont="1" applyFill="1" applyBorder="1" applyAlignment="1">
      <alignment horizontal="center" vertical="center" wrapText="1"/>
    </xf>
    <xf numFmtId="0" fontId="39" fillId="22" borderId="82" xfId="0" applyFont="1" applyFill="1" applyBorder="1" applyAlignment="1">
      <alignment horizontal="center" vertical="center" wrapText="1"/>
    </xf>
    <xf numFmtId="0" fontId="39" fillId="0" borderId="83" xfId="0" applyFont="1" applyBorder="1" applyAlignment="1">
      <alignment horizontal="justify" vertical="center" wrapText="1"/>
    </xf>
    <xf numFmtId="0" fontId="39" fillId="0" borderId="35" xfId="0" applyFont="1" applyBorder="1" applyAlignment="1">
      <alignment horizontal="justify" vertical="center" wrapText="1"/>
    </xf>
    <xf numFmtId="0" fontId="11" fillId="0" borderId="35" xfId="0" applyFont="1" applyBorder="1" applyAlignment="1">
      <alignment horizontal="center" vertical="center" wrapText="1"/>
    </xf>
    <xf numFmtId="0" fontId="39" fillId="0" borderId="101" xfId="0" applyFont="1" applyBorder="1" applyAlignment="1">
      <alignment horizontal="justify" vertical="center" wrapText="1"/>
    </xf>
    <xf numFmtId="0" fontId="39" fillId="0" borderId="102" xfId="0" applyFont="1" applyBorder="1" applyAlignment="1">
      <alignment horizontal="justify" vertical="center" wrapText="1"/>
    </xf>
    <xf numFmtId="0" fontId="11" fillId="0" borderId="102" xfId="0" applyFont="1" applyBorder="1" applyAlignment="1">
      <alignment horizontal="center" vertical="center" wrapText="1"/>
    </xf>
    <xf numFmtId="0" fontId="11" fillId="0" borderId="104" xfId="0" applyFont="1" applyBorder="1" applyAlignment="1">
      <alignment horizontal="justify" vertical="center" wrapText="1"/>
    </xf>
    <xf numFmtId="0" fontId="11" fillId="0" borderId="105" xfId="0" applyFont="1" applyBorder="1" applyAlignment="1">
      <alignment horizontal="center" vertical="center" wrapText="1"/>
    </xf>
    <xf numFmtId="0" fontId="11" fillId="0" borderId="104" xfId="0" applyFont="1" applyBorder="1" applyAlignment="1">
      <alignment horizontal="center" vertical="center" wrapText="1"/>
    </xf>
    <xf numFmtId="189" fontId="11" fillId="7" borderId="104" xfId="0" applyNumberFormat="1" applyFont="1" applyFill="1" applyBorder="1" applyAlignment="1" applyProtection="1">
      <alignment horizontal="center" vertical="center" wrapText="1"/>
      <protection locked="0"/>
    </xf>
    <xf numFmtId="189" fontId="11" fillId="0" borderId="104" xfId="0" applyNumberFormat="1" applyFont="1" applyBorder="1" applyAlignment="1">
      <alignment horizontal="right" vertical="center" wrapText="1"/>
    </xf>
    <xf numFmtId="0" fontId="11" fillId="0" borderId="103" xfId="0" applyFont="1" applyBorder="1" applyAlignment="1">
      <alignment horizontal="justify" vertical="center" wrapText="1"/>
    </xf>
    <xf numFmtId="0" fontId="11" fillId="0" borderId="106" xfId="0" applyFont="1" applyBorder="1" applyAlignment="1">
      <alignment horizontal="center" vertical="center" wrapText="1"/>
    </xf>
    <xf numFmtId="0" fontId="11" fillId="0" borderId="103" xfId="0" applyFont="1" applyBorder="1" applyAlignment="1">
      <alignment horizontal="center" vertical="center" wrapText="1"/>
    </xf>
    <xf numFmtId="189" fontId="11" fillId="23" borderId="103" xfId="0" applyNumberFormat="1" applyFont="1" applyFill="1" applyBorder="1" applyAlignment="1">
      <alignment horizontal="center" vertical="center" wrapText="1"/>
    </xf>
    <xf numFmtId="189" fontId="11" fillId="0" borderId="103" xfId="0" applyNumberFormat="1" applyFont="1" applyBorder="1" applyAlignment="1">
      <alignment horizontal="right" vertical="center" wrapText="1"/>
    </xf>
    <xf numFmtId="0" fontId="39" fillId="0" borderId="91" xfId="0" applyFont="1" applyBorder="1" applyAlignment="1">
      <alignment horizontal="justify" vertical="center" wrapText="1"/>
    </xf>
    <xf numFmtId="0" fontId="39" fillId="0" borderId="43" xfId="0" applyFont="1" applyBorder="1" applyAlignment="1">
      <alignment horizontal="justify" vertical="center" wrapText="1"/>
    </xf>
    <xf numFmtId="0" fontId="11" fillId="0" borderId="43" xfId="0" applyFont="1" applyBorder="1" applyAlignment="1">
      <alignment horizontal="center" vertical="center" wrapText="1"/>
    </xf>
    <xf numFmtId="189" fontId="11" fillId="7" borderId="43" xfId="0" applyNumberFormat="1" applyFont="1" applyFill="1" applyBorder="1" applyAlignment="1" applyProtection="1">
      <alignment horizontal="center" vertical="center" wrapText="1"/>
      <protection locked="0"/>
    </xf>
    <xf numFmtId="189" fontId="11" fillId="0" borderId="91" xfId="0" applyNumberFormat="1" applyFont="1" applyBorder="1" applyAlignment="1">
      <alignment horizontal="right" vertical="center" wrapText="1"/>
    </xf>
    <xf numFmtId="0" fontId="39" fillId="0" borderId="21" xfId="0" applyFont="1" applyBorder="1" applyAlignment="1">
      <alignment vertical="center" wrapText="1"/>
    </xf>
    <xf numFmtId="0" fontId="39" fillId="0" borderId="22" xfId="0" applyFont="1" applyBorder="1" applyAlignment="1">
      <alignment vertical="center" wrapText="1"/>
    </xf>
    <xf numFmtId="189" fontId="11" fillId="0" borderId="82" xfId="0" applyNumberFormat="1" applyFont="1" applyBorder="1" applyAlignment="1">
      <alignment horizontal="right" vertical="center" wrapText="1"/>
    </xf>
    <xf numFmtId="0" fontId="11" fillId="0" borderId="102" xfId="0" applyFont="1" applyBorder="1" applyAlignment="1">
      <alignment horizontal="right" vertical="center" wrapText="1"/>
    </xf>
    <xf numFmtId="0" fontId="11" fillId="0" borderId="107" xfId="0" applyFont="1" applyBorder="1" applyAlignment="1">
      <alignment horizontal="justify" vertical="center" wrapText="1"/>
    </xf>
    <xf numFmtId="0" fontId="11" fillId="0" borderId="108" xfId="0" applyFont="1" applyBorder="1" applyAlignment="1">
      <alignment horizontal="center" vertical="center" wrapText="1"/>
    </xf>
    <xf numFmtId="189" fontId="11" fillId="7" borderId="107" xfId="0" applyNumberFormat="1" applyFont="1" applyFill="1" applyBorder="1" applyAlignment="1" applyProtection="1">
      <alignment horizontal="center" vertical="center" wrapText="1"/>
      <protection locked="0"/>
    </xf>
    <xf numFmtId="189" fontId="11" fillId="0" borderId="107" xfId="0" applyNumberFormat="1" applyFont="1" applyBorder="1" applyAlignment="1">
      <alignment horizontal="right" vertical="center" wrapText="1"/>
    </xf>
    <xf numFmtId="189" fontId="11" fillId="0" borderId="105" xfId="0" applyNumberFormat="1" applyFont="1" applyBorder="1" applyAlignment="1">
      <alignment horizontal="right" vertical="center" wrapText="1"/>
    </xf>
    <xf numFmtId="189" fontId="11" fillId="23" borderId="104" xfId="0" applyNumberFormat="1" applyFont="1" applyFill="1" applyBorder="1" applyAlignment="1">
      <alignment horizontal="center" vertical="center" wrapText="1"/>
    </xf>
    <xf numFmtId="0" fontId="11" fillId="0" borderId="109" xfId="0" applyFont="1" applyBorder="1" applyAlignment="1">
      <alignment horizontal="justify" vertical="center" wrapText="1"/>
    </xf>
    <xf numFmtId="0" fontId="11" fillId="0" borderId="110" xfId="0" applyFont="1" applyBorder="1" applyAlignment="1">
      <alignment horizontal="center" vertical="center" wrapText="1"/>
    </xf>
    <xf numFmtId="189" fontId="11" fillId="0" borderId="110" xfId="0" applyNumberFormat="1" applyFont="1" applyBorder="1" applyAlignment="1">
      <alignment horizontal="center" vertical="center" wrapText="1"/>
    </xf>
    <xf numFmtId="168" fontId="11" fillId="7" borderId="109" xfId="2" applyNumberFormat="1" applyFont="1" applyFill="1" applyBorder="1" applyAlignment="1" applyProtection="1">
      <alignment horizontal="center" vertical="center" wrapText="1"/>
      <protection locked="0"/>
    </xf>
    <xf numFmtId="189" fontId="6" fillId="0" borderId="110" xfId="0" applyNumberFormat="1" applyFont="1" applyBorder="1" applyAlignment="1">
      <alignment horizontal="right" vertical="center" wrapText="1"/>
    </xf>
    <xf numFmtId="189" fontId="11" fillId="0" borderId="104" xfId="0" applyNumberFormat="1" applyFont="1" applyBorder="1" applyAlignment="1">
      <alignment vertical="center" wrapText="1"/>
    </xf>
    <xf numFmtId="189" fontId="11" fillId="7" borderId="109" xfId="0" applyNumberFormat="1" applyFont="1" applyFill="1" applyBorder="1" applyAlignment="1" applyProtection="1">
      <alignment horizontal="center" vertical="center" wrapText="1"/>
      <protection locked="0"/>
    </xf>
    <xf numFmtId="189" fontId="11" fillId="0" borderId="103" xfId="0" applyNumberFormat="1" applyFont="1" applyBorder="1" applyAlignment="1">
      <alignment vertical="center" wrapText="1"/>
    </xf>
    <xf numFmtId="189" fontId="11" fillId="0" borderId="91" xfId="0" applyNumberFormat="1" applyFont="1" applyBorder="1" applyAlignment="1">
      <alignment vertical="center" wrapText="1"/>
    </xf>
    <xf numFmtId="0" fontId="39" fillId="0" borderId="83" xfId="0" applyFont="1" applyBorder="1" applyAlignment="1">
      <alignment horizontal="justify" vertical="top" wrapText="1"/>
    </xf>
    <xf numFmtId="189" fontId="11" fillId="0" borderId="104" xfId="0" applyNumberFormat="1" applyFont="1" applyBorder="1" applyAlignment="1">
      <alignment horizontal="center" vertical="center" wrapText="1"/>
    </xf>
    <xf numFmtId="0" fontId="11" fillId="0" borderId="85" xfId="0" applyFont="1" applyBorder="1" applyAlignment="1">
      <alignment horizontal="justify" vertical="center" wrapText="1"/>
    </xf>
    <xf numFmtId="189" fontId="11" fillId="0" borderId="106" xfId="0" applyNumberFormat="1" applyFont="1" applyBorder="1" applyAlignment="1">
      <alignment horizontal="center" vertical="center" wrapText="1"/>
    </xf>
    <xf numFmtId="168" fontId="11" fillId="7" borderId="106" xfId="2" applyNumberFormat="1" applyFont="1" applyFill="1" applyBorder="1" applyAlignment="1" applyProtection="1">
      <alignment horizontal="center" vertical="center" wrapText="1"/>
      <protection locked="0"/>
    </xf>
    <xf numFmtId="189" fontId="11" fillId="0" borderId="106" xfId="0" applyNumberFormat="1" applyFont="1" applyBorder="1" applyAlignment="1">
      <alignment horizontal="right" vertical="center" wrapText="1"/>
    </xf>
    <xf numFmtId="0" fontId="11" fillId="0" borderId="17" xfId="0" applyFont="1" applyBorder="1" applyAlignment="1">
      <alignment horizontal="center" vertical="center" wrapText="1"/>
    </xf>
    <xf numFmtId="189" fontId="11" fillId="0" borderId="17" xfId="0" applyNumberFormat="1" applyFont="1" applyBorder="1" applyAlignment="1">
      <alignment horizontal="center" vertical="center" wrapText="1"/>
    </xf>
    <xf numFmtId="189" fontId="11" fillId="0" borderId="17" xfId="0" applyNumberFormat="1" applyFont="1" applyBorder="1" applyAlignment="1">
      <alignment horizontal="right" vertical="center" wrapText="1"/>
    </xf>
    <xf numFmtId="0" fontId="11" fillId="0" borderId="89" xfId="0" applyFont="1" applyBorder="1" applyAlignment="1">
      <alignment horizontal="justify" vertical="center" wrapText="1"/>
    </xf>
    <xf numFmtId="0" fontId="11" fillId="0" borderId="67" xfId="0" applyFont="1" applyBorder="1" applyAlignment="1">
      <alignment horizontal="justify" vertical="center" wrapText="1"/>
    </xf>
    <xf numFmtId="0" fontId="11" fillId="0" borderId="67" xfId="0" applyFont="1" applyBorder="1" applyAlignment="1">
      <alignment horizontal="center" vertical="center" wrapText="1"/>
    </xf>
    <xf numFmtId="189" fontId="11" fillId="7" borderId="89" xfId="0" applyNumberFormat="1" applyFont="1" applyFill="1" applyBorder="1" applyAlignment="1" applyProtection="1">
      <alignment horizontal="center" vertical="center" wrapText="1"/>
      <protection locked="0"/>
    </xf>
    <xf numFmtId="189" fontId="11" fillId="0" borderId="89" xfId="0" applyNumberFormat="1" applyFont="1" applyBorder="1" applyAlignment="1">
      <alignment vertical="center" wrapText="1"/>
    </xf>
    <xf numFmtId="189" fontId="11" fillId="0" borderId="109" xfId="0" applyNumberFormat="1" applyFont="1" applyBorder="1" applyAlignment="1">
      <alignment vertical="center" wrapText="1"/>
    </xf>
    <xf numFmtId="0" fontId="39" fillId="0" borderId="92" xfId="0" applyFont="1" applyBorder="1" applyAlignment="1">
      <alignment horizontal="justify" vertical="center" wrapText="1"/>
    </xf>
    <xf numFmtId="0" fontId="39" fillId="0" borderId="63" xfId="0" applyFont="1" applyBorder="1" applyAlignment="1">
      <alignment horizontal="justify" vertical="center" wrapText="1"/>
    </xf>
    <xf numFmtId="0" fontId="11" fillId="0" borderId="63" xfId="0" applyFont="1" applyBorder="1" applyAlignment="1">
      <alignment horizontal="center" vertical="center" wrapText="1"/>
    </xf>
    <xf numFmtId="189" fontId="11" fillId="0" borderId="109" xfId="0" applyNumberFormat="1" applyFont="1" applyBorder="1" applyAlignment="1">
      <alignment horizontal="center" vertical="center" wrapText="1"/>
    </xf>
    <xf numFmtId="168" fontId="11" fillId="7" borderId="110" xfId="2" applyNumberFormat="1" applyFont="1" applyFill="1" applyBorder="1" applyAlignment="1" applyProtection="1">
      <alignment horizontal="center" vertical="center" wrapText="1"/>
      <protection locked="0"/>
    </xf>
    <xf numFmtId="189" fontId="11" fillId="0" borderId="110" xfId="0" applyNumberFormat="1" applyFont="1" applyBorder="1" applyAlignment="1">
      <alignment horizontal="right" vertical="center" wrapText="1"/>
    </xf>
    <xf numFmtId="0" fontId="39" fillId="0" borderId="92" xfId="0" applyFont="1" applyBorder="1" applyAlignment="1">
      <alignment horizontal="justify" vertical="top" wrapText="1"/>
    </xf>
    <xf numFmtId="0" fontId="11" fillId="0" borderId="109" xfId="0" applyFont="1" applyBorder="1" applyAlignment="1">
      <alignment horizontal="center" vertical="center" wrapText="1"/>
    </xf>
    <xf numFmtId="189" fontId="11" fillId="23" borderId="109" xfId="0" applyNumberFormat="1" applyFont="1" applyFill="1" applyBorder="1" applyAlignment="1">
      <alignment horizontal="center" vertical="center" wrapText="1"/>
    </xf>
    <xf numFmtId="0" fontId="39" fillId="0" borderId="17" xfId="0" applyFont="1" applyBorder="1" applyAlignment="1">
      <alignment horizontal="justify" vertical="center" wrapText="1"/>
    </xf>
    <xf numFmtId="189" fontId="3" fillId="7" borderId="104" xfId="0" applyNumberFormat="1" applyFont="1" applyFill="1" applyBorder="1" applyAlignment="1" applyProtection="1">
      <alignment horizontal="center" vertical="center" wrapText="1"/>
      <protection locked="0"/>
    </xf>
    <xf numFmtId="0" fontId="39" fillId="0" borderId="90" xfId="0" applyFont="1" applyBorder="1" applyAlignment="1">
      <alignment horizontal="justify" vertical="center" wrapText="1"/>
    </xf>
    <xf numFmtId="0" fontId="39" fillId="0" borderId="41" xfId="0" applyFont="1" applyBorder="1" applyAlignment="1">
      <alignment horizontal="justify" vertical="center" wrapText="1"/>
    </xf>
    <xf numFmtId="0" fontId="11" fillId="0" borderId="41" xfId="0" applyFont="1" applyBorder="1" applyAlignment="1">
      <alignment horizontal="center" vertical="center" wrapText="1"/>
    </xf>
    <xf numFmtId="189" fontId="11" fillId="23" borderId="90" xfId="0" applyNumberFormat="1" applyFont="1" applyFill="1" applyBorder="1" applyAlignment="1">
      <alignment horizontal="center" vertical="center" wrapText="1"/>
    </xf>
    <xf numFmtId="0" fontId="39" fillId="0" borderId="85" xfId="0" applyFont="1" applyBorder="1" applyAlignment="1">
      <alignment horizontal="justify" vertical="center" wrapText="1"/>
    </xf>
    <xf numFmtId="0" fontId="39" fillId="0" borderId="17" xfId="0" applyFont="1" applyBorder="1" applyAlignment="1">
      <alignment horizontal="center" vertical="center" wrapText="1"/>
    </xf>
    <xf numFmtId="189" fontId="11" fillId="0" borderId="103" xfId="0" applyNumberFormat="1" applyFont="1" applyBorder="1" applyAlignment="1">
      <alignment horizontal="center" vertical="center" wrapText="1"/>
    </xf>
    <xf numFmtId="0" fontId="39" fillId="0" borderId="63" xfId="0" applyFont="1" applyBorder="1" applyAlignment="1">
      <alignment horizontal="center" vertical="center" wrapText="1"/>
    </xf>
    <xf numFmtId="168" fontId="11" fillId="7" borderId="105" xfId="2" applyNumberFormat="1" applyFont="1" applyFill="1" applyBorder="1" applyAlignment="1" applyProtection="1">
      <alignment horizontal="center" vertical="center" wrapText="1"/>
      <protection locked="0"/>
    </xf>
    <xf numFmtId="0" fontId="11" fillId="0" borderId="101" xfId="0" applyFont="1" applyBorder="1" applyAlignment="1">
      <alignment horizontal="justify" vertical="center" wrapText="1"/>
    </xf>
    <xf numFmtId="189" fontId="11" fillId="23" borderId="101" xfId="0" applyNumberFormat="1" applyFont="1" applyFill="1" applyBorder="1" applyAlignment="1">
      <alignment horizontal="center" vertical="center" wrapText="1"/>
    </xf>
    <xf numFmtId="189" fontId="11" fillId="0" borderId="101" xfId="0" applyNumberFormat="1" applyFont="1" applyBorder="1" applyAlignment="1">
      <alignment vertical="center" wrapText="1"/>
    </xf>
    <xf numFmtId="0" fontId="39" fillId="0" borderId="63" xfId="20" applyFont="1" applyBorder="1" applyAlignment="1">
      <alignment horizontal="justify" vertical="center" wrapText="1"/>
    </xf>
    <xf numFmtId="0" fontId="11" fillId="0" borderId="104" xfId="20" applyFont="1" applyBorder="1" applyAlignment="1">
      <alignment horizontal="justify" vertical="center" wrapText="1"/>
    </xf>
    <xf numFmtId="0" fontId="11" fillId="0" borderId="105" xfId="20" applyFont="1" applyBorder="1" applyAlignment="1">
      <alignment horizontal="center" vertical="center" wrapText="1"/>
    </xf>
    <xf numFmtId="189" fontId="11" fillId="7" borderId="104" xfId="20" applyNumberFormat="1" applyFont="1" applyFill="1" applyBorder="1" applyAlignment="1" applyProtection="1">
      <alignment horizontal="center" vertical="center" wrapText="1"/>
      <protection locked="0"/>
    </xf>
    <xf numFmtId="189" fontId="11" fillId="0" borderId="104" xfId="20" applyNumberFormat="1" applyFont="1" applyBorder="1" applyAlignment="1">
      <alignment vertical="center" wrapText="1"/>
    </xf>
    <xf numFmtId="0" fontId="11" fillId="0" borderId="107" xfId="0" applyFont="1" applyBorder="1" applyAlignment="1">
      <alignment horizontal="center" vertical="center" wrapText="1"/>
    </xf>
    <xf numFmtId="0" fontId="39" fillId="0" borderId="34" xfId="0" applyFont="1" applyBorder="1" applyAlignment="1">
      <alignment vertical="center" wrapText="1"/>
    </xf>
    <xf numFmtId="0" fontId="39" fillId="0" borderId="25" xfId="0" applyFont="1" applyBorder="1" applyAlignment="1">
      <alignment vertical="center" wrapText="1"/>
    </xf>
    <xf numFmtId="0" fontId="6" fillId="0" borderId="7" xfId="0" applyFont="1" applyBorder="1" applyAlignment="1">
      <alignment horizontal="center" vertical="center"/>
    </xf>
    <xf numFmtId="0" fontId="6" fillId="0" borderId="8" xfId="0" applyFont="1" applyBorder="1" applyAlignment="1">
      <alignment vertical="center"/>
    </xf>
    <xf numFmtId="0" fontId="6" fillId="0" borderId="40" xfId="0" applyFont="1" applyBorder="1" applyAlignment="1">
      <alignment vertical="center"/>
    </xf>
    <xf numFmtId="0" fontId="6" fillId="0" borderId="40" xfId="0" applyFont="1" applyBorder="1" applyAlignment="1">
      <alignment horizontal="center" vertical="center"/>
    </xf>
    <xf numFmtId="0" fontId="6" fillId="0" borderId="42" xfId="0" applyFont="1" applyBorder="1" applyAlignment="1">
      <alignment horizontal="center" vertical="center"/>
    </xf>
    <xf numFmtId="189" fontId="6" fillId="0" borderId="7" xfId="0" applyNumberFormat="1" applyFont="1" applyBorder="1" applyAlignment="1">
      <alignment horizontal="right" vertical="center"/>
    </xf>
    <xf numFmtId="189" fontId="6" fillId="0" borderId="0" xfId="0" applyNumberFormat="1" applyFont="1" applyAlignment="1">
      <alignment horizontal="right" vertical="center"/>
    </xf>
    <xf numFmtId="0" fontId="6" fillId="0" borderId="0" xfId="0" applyFont="1" applyAlignment="1">
      <alignment horizontal="right" vertical="center"/>
    </xf>
    <xf numFmtId="189" fontId="7" fillId="0" borderId="0" xfId="0" applyNumberFormat="1" applyFont="1" applyAlignment="1">
      <alignment horizontal="right" vertical="center"/>
    </xf>
    <xf numFmtId="0" fontId="10" fillId="0" borderId="0" xfId="0" applyFont="1" applyAlignment="1">
      <alignment vertical="center"/>
    </xf>
    <xf numFmtId="0" fontId="3" fillId="0" borderId="15" xfId="7" applyBorder="1" applyAlignment="1">
      <alignment vertical="center" wrapText="1"/>
    </xf>
    <xf numFmtId="189" fontId="11" fillId="0" borderId="105" xfId="0" applyNumberFormat="1" applyFont="1" applyBorder="1" applyAlignment="1">
      <alignment horizontal="center" vertical="center" wrapText="1"/>
    </xf>
    <xf numFmtId="4" fontId="3" fillId="18" borderId="7" xfId="7" applyNumberFormat="1" applyFill="1" applyBorder="1" applyAlignment="1">
      <alignment horizontal="center" vertical="center" wrapText="1"/>
    </xf>
    <xf numFmtId="179" fontId="3" fillId="0" borderId="30" xfId="7" applyNumberFormat="1" applyBorder="1"/>
    <xf numFmtId="0" fontId="3" fillId="0" borderId="60" xfId="7" applyBorder="1"/>
    <xf numFmtId="0" fontId="3" fillId="0" borderId="60" xfId="7" applyBorder="1" applyAlignment="1">
      <alignment horizontal="right"/>
    </xf>
    <xf numFmtId="0" fontId="3" fillId="0" borderId="48" xfId="7" applyBorder="1" applyAlignment="1">
      <alignment horizontal="center"/>
    </xf>
    <xf numFmtId="179" fontId="3" fillId="0" borderId="27" xfId="7" applyNumberFormat="1" applyBorder="1"/>
    <xf numFmtId="184" fontId="3" fillId="0" borderId="22" xfId="7" applyNumberFormat="1" applyBorder="1"/>
    <xf numFmtId="185" fontId="3" fillId="0" borderId="23" xfId="7" applyNumberFormat="1" applyBorder="1"/>
    <xf numFmtId="0" fontId="3" fillId="13" borderId="57" xfId="7" applyFill="1" applyBorder="1"/>
    <xf numFmtId="179" fontId="3" fillId="13" borderId="59" xfId="7" applyNumberFormat="1" applyFill="1" applyBorder="1"/>
    <xf numFmtId="179" fontId="3" fillId="0" borderId="12" xfId="7" applyNumberFormat="1" applyBorder="1"/>
    <xf numFmtId="179" fontId="3" fillId="0" borderId="10" xfId="7" applyNumberFormat="1" applyBorder="1"/>
    <xf numFmtId="4" fontId="3" fillId="0" borderId="7" xfId="7" applyNumberFormat="1" applyBorder="1" applyAlignment="1" applyProtection="1">
      <alignment horizontal="center" vertical="center" wrapText="1"/>
      <protection locked="0"/>
    </xf>
    <xf numFmtId="0" fontId="43" fillId="0" borderId="34" xfId="7" applyFont="1" applyBorder="1" applyAlignment="1">
      <alignment horizontal="left"/>
    </xf>
    <xf numFmtId="0" fontId="4" fillId="0" borderId="0" xfId="0" applyFont="1" applyAlignment="1">
      <alignment horizontal="right" vertical="center" shrinkToFit="1"/>
    </xf>
    <xf numFmtId="0" fontId="4" fillId="0" borderId="0" xfId="0" applyFont="1" applyAlignment="1">
      <alignment horizontal="left" vertical="center"/>
    </xf>
    <xf numFmtId="0" fontId="9" fillId="0" borderId="0" xfId="0" applyFont="1" applyAlignment="1">
      <alignment horizontal="right"/>
    </xf>
    <xf numFmtId="0" fontId="9" fillId="0" borderId="0" xfId="0" applyFont="1" applyAlignment="1" applyProtection="1">
      <alignment horizontal="center"/>
      <protection locked="0"/>
    </xf>
    <xf numFmtId="0" fontId="0" fillId="0" borderId="0" xfId="0" applyAlignment="1">
      <alignment horizontal="center"/>
    </xf>
    <xf numFmtId="190" fontId="0" fillId="0" borderId="0" xfId="21" applyNumberFormat="1" applyFont="1"/>
    <xf numFmtId="0" fontId="45" fillId="0" borderId="0" xfId="0" applyFont="1" applyAlignment="1">
      <alignment horizontal="left" vertical="center" wrapText="1"/>
    </xf>
    <xf numFmtId="190" fontId="0" fillId="0" borderId="0" xfId="21" applyNumberFormat="1" applyFont="1" applyAlignment="1">
      <alignment vertical="center"/>
    </xf>
    <xf numFmtId="190" fontId="2" fillId="0" borderId="0" xfId="21" applyNumberFormat="1" applyFont="1" applyFill="1" applyBorder="1" applyAlignment="1">
      <alignment vertical="center"/>
    </xf>
    <xf numFmtId="190" fontId="0" fillId="0" borderId="0" xfId="21" applyNumberFormat="1" applyFont="1" applyFill="1" applyBorder="1" applyAlignment="1">
      <alignment vertical="center"/>
    </xf>
    <xf numFmtId="166" fontId="0" fillId="0" borderId="0" xfId="0" applyNumberFormat="1" applyAlignment="1">
      <alignment vertical="center"/>
    </xf>
    <xf numFmtId="166" fontId="0" fillId="0" borderId="0" xfId="21" applyFont="1" applyFill="1" applyBorder="1" applyAlignment="1">
      <alignment vertical="center"/>
    </xf>
    <xf numFmtId="0" fontId="0" fillId="0" borderId="62" xfId="0" applyBorder="1" applyAlignment="1">
      <alignment horizontal="center" vertical="center"/>
    </xf>
    <xf numFmtId="0" fontId="0" fillId="21" borderId="44" xfId="0" applyFill="1" applyBorder="1" applyAlignment="1" applyProtection="1">
      <alignment horizontal="left" vertical="center"/>
      <protection locked="0"/>
    </xf>
    <xf numFmtId="0" fontId="0" fillId="21" borderId="10" xfId="0" applyFill="1" applyBorder="1" applyAlignment="1" applyProtection="1">
      <alignment horizontal="left" vertical="center"/>
      <protection locked="0"/>
    </xf>
    <xf numFmtId="0" fontId="0" fillId="0" borderId="10" xfId="0" applyBorder="1" applyAlignment="1">
      <alignment horizontal="left" vertical="center"/>
    </xf>
    <xf numFmtId="0" fontId="0" fillId="0" borderId="0" xfId="0" applyAlignment="1" applyProtection="1">
      <alignment horizontal="left" vertical="center"/>
      <protection locked="0"/>
    </xf>
    <xf numFmtId="0" fontId="2" fillId="0" borderId="7" xfId="0" applyFont="1" applyBorder="1" applyAlignment="1">
      <alignment horizontal="center"/>
    </xf>
    <xf numFmtId="2" fontId="0" fillId="0" borderId="0" xfId="0" applyNumberFormat="1" applyAlignment="1">
      <alignment horizontal="center" vertical="center"/>
    </xf>
    <xf numFmtId="0" fontId="0" fillId="0" borderId="7" xfId="0" applyBorder="1" applyAlignment="1">
      <alignment horizontal="center"/>
    </xf>
    <xf numFmtId="0" fontId="0" fillId="0" borderId="0" xfId="0" applyAlignment="1" applyProtection="1">
      <alignment horizontal="center" vertical="center"/>
      <protection locked="0"/>
    </xf>
    <xf numFmtId="0" fontId="2" fillId="0" borderId="0" xfId="0" applyFont="1" applyAlignment="1">
      <alignment horizontal="right"/>
    </xf>
    <xf numFmtId="0" fontId="0" fillId="0" borderId="45" xfId="0" applyBorder="1" applyAlignment="1">
      <alignment horizontal="center"/>
    </xf>
    <xf numFmtId="0" fontId="0" fillId="0" borderId="7" xfId="0" applyBorder="1" applyAlignment="1">
      <alignment horizontal="left"/>
    </xf>
    <xf numFmtId="9" fontId="0" fillId="2" borderId="7" xfId="0" applyNumberFormat="1" applyFill="1" applyBorder="1" applyAlignment="1">
      <alignment horizontal="center"/>
    </xf>
    <xf numFmtId="0" fontId="0" fillId="0" borderId="0" xfId="0" applyAlignment="1">
      <alignment horizontal="right"/>
    </xf>
    <xf numFmtId="190" fontId="0" fillId="0" borderId="0" xfId="21" applyNumberFormat="1" applyFont="1" applyAlignment="1">
      <alignment horizontal="right"/>
    </xf>
    <xf numFmtId="0" fontId="4" fillId="0" borderId="0" xfId="0" applyFont="1" applyAlignment="1">
      <alignment horizontal="right" vertical="center" wrapText="1"/>
    </xf>
    <xf numFmtId="189" fontId="11" fillId="24" borderId="104" xfId="0" applyNumberFormat="1" applyFont="1" applyFill="1" applyBorder="1" applyAlignment="1">
      <alignment horizontal="center" vertical="center" wrapText="1"/>
    </xf>
    <xf numFmtId="0" fontId="49" fillId="0" borderId="0" xfId="0" applyFont="1"/>
    <xf numFmtId="0" fontId="0" fillId="0" borderId="0" xfId="0" applyAlignment="1">
      <alignment horizontal="left" vertical="center" wrapText="1"/>
    </xf>
    <xf numFmtId="0" fontId="2" fillId="0" borderId="0" xfId="0" applyFont="1"/>
    <xf numFmtId="0" fontId="2" fillId="0" borderId="0" xfId="0" applyFont="1" applyAlignment="1">
      <alignment horizontal="center"/>
    </xf>
    <xf numFmtId="190" fontId="2" fillId="0" borderId="0" xfId="21" applyNumberFormat="1" applyFont="1" applyAlignment="1">
      <alignment horizontal="center"/>
    </xf>
    <xf numFmtId="0" fontId="0" fillId="0" borderId="1" xfId="0" applyBorder="1"/>
    <xf numFmtId="0" fontId="0" fillId="0" borderId="2" xfId="0" applyBorder="1"/>
    <xf numFmtId="0" fontId="0" fillId="0" borderId="2" xfId="0" applyBorder="1" applyAlignment="1">
      <alignment horizontal="center"/>
    </xf>
    <xf numFmtId="190" fontId="0" fillId="0" borderId="2" xfId="21" applyNumberFormat="1" applyFont="1" applyBorder="1"/>
    <xf numFmtId="0" fontId="0" fillId="0" borderId="3" xfId="0" applyBorder="1"/>
    <xf numFmtId="0" fontId="2" fillId="24" borderId="13" xfId="0" applyFont="1" applyFill="1" applyBorder="1"/>
    <xf numFmtId="0" fontId="2" fillId="24" borderId="2" xfId="0" applyFont="1" applyFill="1" applyBorder="1"/>
    <xf numFmtId="0" fontId="0" fillId="24" borderId="2" xfId="0" applyFill="1" applyBorder="1" applyAlignment="1">
      <alignment horizontal="right"/>
    </xf>
    <xf numFmtId="0" fontId="0" fillId="24" borderId="2" xfId="0" applyFill="1" applyBorder="1" applyAlignment="1">
      <alignment horizontal="center"/>
    </xf>
    <xf numFmtId="190" fontId="0" fillId="24" borderId="2" xfId="21" applyNumberFormat="1" applyFont="1" applyFill="1" applyBorder="1"/>
    <xf numFmtId="0" fontId="0" fillId="24" borderId="2" xfId="0" applyFill="1" applyBorder="1"/>
    <xf numFmtId="166" fontId="0" fillId="24" borderId="3" xfId="0" applyNumberFormat="1" applyFill="1" applyBorder="1"/>
    <xf numFmtId="0" fontId="0" fillId="3" borderId="14" xfId="0" applyFill="1" applyBorder="1" applyAlignment="1">
      <alignment horizontal="left" indent="2"/>
    </xf>
    <xf numFmtId="0" fontId="0" fillId="3" borderId="4" xfId="0" applyFill="1" applyBorder="1" applyAlignment="1">
      <alignment horizontal="left" indent="2"/>
    </xf>
    <xf numFmtId="0" fontId="0" fillId="3" borderId="4" xfId="0" applyFill="1" applyBorder="1" applyAlignment="1">
      <alignment horizontal="center"/>
    </xf>
    <xf numFmtId="2" fontId="0" fillId="3" borderId="4" xfId="0" applyNumberFormat="1" applyFill="1" applyBorder="1" applyAlignment="1">
      <alignment horizontal="center"/>
    </xf>
    <xf numFmtId="190" fontId="0" fillId="3" borderId="4" xfId="21" applyNumberFormat="1" applyFont="1" applyFill="1" applyBorder="1"/>
    <xf numFmtId="0" fontId="0" fillId="3" borderId="5" xfId="0" applyFill="1" applyBorder="1"/>
    <xf numFmtId="166" fontId="0" fillId="3" borderId="6" xfId="21" applyFont="1" applyFill="1" applyBorder="1"/>
    <xf numFmtId="0" fontId="0" fillId="0" borderId="7" xfId="0" applyBorder="1" applyAlignment="1">
      <alignment horizontal="left" vertical="center"/>
    </xf>
    <xf numFmtId="2" fontId="0" fillId="21" borderId="7" xfId="0" applyNumberFormat="1" applyFill="1" applyBorder="1" applyAlignment="1" applyProtection="1">
      <alignment horizontal="center" vertical="center"/>
      <protection locked="0"/>
    </xf>
    <xf numFmtId="190" fontId="0" fillId="0" borderId="7" xfId="21" applyNumberFormat="1" applyFont="1" applyBorder="1"/>
    <xf numFmtId="166" fontId="0" fillId="0" borderId="8" xfId="21" applyFont="1" applyBorder="1" applyAlignment="1">
      <alignment vertical="center"/>
    </xf>
    <xf numFmtId="166" fontId="0" fillId="0" borderId="9" xfId="21" applyFont="1" applyBorder="1" applyAlignment="1">
      <alignment vertical="center"/>
    </xf>
    <xf numFmtId="0" fontId="0" fillId="0" borderId="7" xfId="0" applyBorder="1" applyAlignment="1">
      <alignment horizontal="left" indent="2"/>
    </xf>
    <xf numFmtId="166" fontId="0" fillId="0" borderId="8" xfId="21" applyFont="1" applyBorder="1"/>
    <xf numFmtId="166" fontId="0" fillId="0" borderId="9" xfId="21" applyFont="1" applyBorder="1"/>
    <xf numFmtId="0" fontId="0" fillId="0" borderId="10" xfId="0" applyBorder="1" applyAlignment="1">
      <alignment horizontal="left" indent="2"/>
    </xf>
    <xf numFmtId="2" fontId="0" fillId="21" borderId="10" xfId="0" applyNumberFormat="1" applyFill="1" applyBorder="1" applyAlignment="1" applyProtection="1">
      <alignment horizontal="center" vertical="center"/>
      <protection locked="0"/>
    </xf>
    <xf numFmtId="190" fontId="0" fillId="0" borderId="10" xfId="21" applyNumberFormat="1" applyFont="1" applyBorder="1"/>
    <xf numFmtId="166" fontId="0" fillId="0" borderId="10" xfId="21" applyFont="1" applyBorder="1"/>
    <xf numFmtId="166" fontId="0" fillId="0" borderId="12" xfId="21" applyFont="1" applyBorder="1"/>
    <xf numFmtId="0" fontId="0" fillId="0" borderId="0" xfId="0" applyAlignment="1">
      <alignment horizontal="right" vertical="center"/>
    </xf>
    <xf numFmtId="0" fontId="2" fillId="0" borderId="0" xfId="0" applyFont="1" applyAlignment="1">
      <alignment horizontal="right" vertical="center"/>
    </xf>
    <xf numFmtId="166" fontId="2" fillId="24" borderId="0" xfId="0" applyNumberFormat="1" applyFont="1" applyFill="1" applyAlignment="1">
      <alignment horizontal="center" vertical="center"/>
    </xf>
    <xf numFmtId="0" fontId="39" fillId="0" borderId="111" xfId="20" applyFont="1" applyBorder="1" applyAlignment="1">
      <alignment horizontal="left" vertical="center"/>
    </xf>
    <xf numFmtId="0" fontId="11" fillId="0" borderId="101" xfId="0" applyFont="1" applyBorder="1" applyAlignment="1">
      <alignment horizontal="center" vertical="center" wrapText="1"/>
    </xf>
    <xf numFmtId="0" fontId="11" fillId="0" borderId="17" xfId="0" applyFont="1" applyBorder="1" applyAlignment="1">
      <alignment horizontal="justify" vertical="center" wrapText="1"/>
    </xf>
    <xf numFmtId="0" fontId="11" fillId="0" borderId="112" xfId="20" applyFont="1" applyBorder="1" applyAlignment="1">
      <alignment horizontal="justify" vertical="center" wrapText="1"/>
    </xf>
    <xf numFmtId="0" fontId="11" fillId="0" borderId="112" xfId="0" applyFont="1" applyBorder="1" applyAlignment="1">
      <alignment horizontal="justify" vertical="center" wrapText="1"/>
    </xf>
    <xf numFmtId="0" fontId="11" fillId="0" borderId="113" xfId="20" applyFont="1" applyBorder="1" applyAlignment="1">
      <alignment horizontal="justify" vertical="center" wrapText="1"/>
    </xf>
    <xf numFmtId="189" fontId="11" fillId="0" borderId="107" xfId="0" applyNumberFormat="1" applyFont="1" applyBorder="1" applyAlignment="1">
      <alignment vertical="center" wrapText="1"/>
    </xf>
    <xf numFmtId="189" fontId="3" fillId="7" borderId="103" xfId="0" applyNumberFormat="1" applyFont="1" applyFill="1" applyBorder="1" applyAlignment="1" applyProtection="1">
      <alignment horizontal="center" vertical="center" wrapText="1"/>
      <protection locked="0"/>
    </xf>
    <xf numFmtId="0" fontId="39" fillId="0" borderId="90" xfId="20" applyFont="1" applyBorder="1" applyAlignment="1">
      <alignment horizontal="justify" vertical="center" wrapText="1"/>
    </xf>
    <xf numFmtId="0" fontId="39" fillId="0" borderId="41" xfId="20" applyFont="1" applyBorder="1" applyAlignment="1">
      <alignment horizontal="justify" vertical="center" wrapText="1"/>
    </xf>
    <xf numFmtId="0" fontId="11" fillId="0" borderId="41" xfId="20" applyFont="1" applyBorder="1" applyAlignment="1">
      <alignment horizontal="center" vertical="center" wrapText="1"/>
    </xf>
    <xf numFmtId="189" fontId="11" fillId="7" borderId="41" xfId="20" applyNumberFormat="1" applyFont="1" applyFill="1" applyBorder="1" applyAlignment="1" applyProtection="1">
      <alignment horizontal="center" vertical="center" wrapText="1"/>
      <protection locked="0"/>
    </xf>
    <xf numFmtId="189" fontId="11" fillId="0" borderId="90" xfId="20" applyNumberFormat="1" applyFont="1" applyBorder="1" applyAlignment="1">
      <alignment vertical="center" wrapText="1"/>
    </xf>
    <xf numFmtId="189" fontId="11" fillId="0" borderId="0" xfId="0" applyNumberFormat="1" applyFont="1" applyAlignment="1">
      <alignment vertical="center" wrapText="1"/>
    </xf>
    <xf numFmtId="0" fontId="0" fillId="0" borderId="86" xfId="0" applyBorder="1"/>
    <xf numFmtId="189" fontId="11" fillId="0" borderId="86" xfId="0" applyNumberFormat="1" applyFont="1" applyBorder="1" applyAlignment="1">
      <alignment vertical="center" wrapText="1"/>
    </xf>
    <xf numFmtId="0" fontId="3" fillId="0" borderId="0" xfId="3" applyFont="1" applyAlignment="1">
      <alignment vertical="center"/>
    </xf>
    <xf numFmtId="0" fontId="6" fillId="0" borderId="0" xfId="3" applyFont="1"/>
    <xf numFmtId="0" fontId="6" fillId="0" borderId="0" xfId="3" applyFont="1" applyAlignment="1">
      <alignment horizontal="left" vertical="center"/>
    </xf>
    <xf numFmtId="0" fontId="4" fillId="0" borderId="0" xfId="3" applyFont="1" applyAlignment="1">
      <alignment vertical="center"/>
    </xf>
    <xf numFmtId="0" fontId="6" fillId="0" borderId="0" xfId="3" applyFont="1" applyAlignment="1">
      <alignment horizontal="right"/>
    </xf>
    <xf numFmtId="0" fontId="4" fillId="0" borderId="0" xfId="3" applyFont="1" applyAlignment="1">
      <alignment horizontal="left" vertical="center"/>
    </xf>
    <xf numFmtId="0" fontId="4" fillId="0" borderId="0" xfId="3" applyFont="1" applyAlignment="1">
      <alignment horizontal="right" vertical="center"/>
    </xf>
    <xf numFmtId="0" fontId="4" fillId="0" borderId="0" xfId="3" applyFont="1" applyAlignment="1">
      <alignment horizontal="center" vertical="center" wrapText="1"/>
    </xf>
    <xf numFmtId="0" fontId="4" fillId="0" borderId="0" xfId="3" applyFont="1" applyAlignment="1">
      <alignment horizontal="center" vertical="center"/>
    </xf>
    <xf numFmtId="169" fontId="4" fillId="0" borderId="0" xfId="3" applyNumberFormat="1" applyFont="1" applyAlignment="1">
      <alignment horizontal="center" vertical="center"/>
    </xf>
    <xf numFmtId="4" fontId="7" fillId="0" borderId="19" xfId="3" applyNumberFormat="1" applyFont="1" applyBorder="1" applyAlignment="1">
      <alignment horizontal="center" vertical="center"/>
    </xf>
    <xf numFmtId="0" fontId="6" fillId="0" borderId="2" xfId="3" applyFont="1" applyBorder="1" applyAlignment="1">
      <alignment vertical="center"/>
    </xf>
    <xf numFmtId="0" fontId="3" fillId="0" borderId="2" xfId="3" applyFont="1" applyBorder="1" applyAlignment="1">
      <alignment horizontal="center" vertical="center"/>
    </xf>
    <xf numFmtId="4" fontId="6" fillId="0" borderId="2" xfId="3" applyNumberFormat="1" applyFont="1" applyBorder="1" applyAlignment="1">
      <alignment horizontal="center" vertical="center"/>
    </xf>
    <xf numFmtId="191" fontId="6" fillId="0" borderId="2" xfId="3" applyNumberFormat="1" applyFont="1" applyBorder="1" applyAlignment="1">
      <alignment horizontal="center" vertical="center"/>
    </xf>
    <xf numFmtId="3" fontId="6" fillId="0" borderId="2" xfId="3" applyNumberFormat="1" applyFont="1" applyBorder="1" applyAlignment="1">
      <alignment horizontal="center" vertical="center"/>
    </xf>
    <xf numFmtId="0" fontId="3" fillId="0" borderId="0" xfId="3" applyFont="1" applyAlignment="1">
      <alignment horizontal="center" vertical="center"/>
    </xf>
    <xf numFmtId="4" fontId="6" fillId="0" borderId="0" xfId="3" applyNumberFormat="1" applyFont="1" applyAlignment="1">
      <alignment horizontal="center" vertical="center"/>
    </xf>
    <xf numFmtId="191" fontId="6" fillId="0" borderId="0" xfId="3" applyNumberFormat="1" applyFont="1" applyAlignment="1">
      <alignment horizontal="center" vertical="center"/>
    </xf>
    <xf numFmtId="3" fontId="6" fillId="0" borderId="0" xfId="3" applyNumberFormat="1" applyFont="1" applyAlignment="1">
      <alignment horizontal="center" vertical="center"/>
    </xf>
    <xf numFmtId="0" fontId="7" fillId="0" borderId="0" xfId="3" applyFont="1" applyAlignment="1">
      <alignment horizontal="left" vertical="center"/>
    </xf>
    <xf numFmtId="3" fontId="7" fillId="0" borderId="0" xfId="3" applyNumberFormat="1" applyFont="1" applyAlignment="1">
      <alignment horizontal="center" vertical="center"/>
    </xf>
    <xf numFmtId="0" fontId="2" fillId="0" borderId="0" xfId="4" applyFont="1" applyAlignment="1">
      <alignment vertical="center"/>
    </xf>
    <xf numFmtId="0" fontId="3" fillId="0" borderId="25" xfId="4" applyBorder="1" applyAlignment="1">
      <alignment vertical="center"/>
    </xf>
    <xf numFmtId="0" fontId="3" fillId="0" borderId="0" xfId="4" applyAlignment="1">
      <alignment vertical="center"/>
    </xf>
    <xf numFmtId="0" fontId="3" fillId="0" borderId="0" xfId="4" applyAlignment="1">
      <alignment horizontal="center" vertical="center"/>
    </xf>
    <xf numFmtId="190" fontId="0" fillId="0" borderId="0" xfId="22" applyNumberFormat="1" applyFont="1" applyBorder="1" applyAlignment="1" applyProtection="1">
      <alignment vertical="center"/>
    </xf>
    <xf numFmtId="0" fontId="3" fillId="25" borderId="26" xfId="4" applyFill="1" applyBorder="1" applyAlignment="1">
      <alignment horizontal="center" vertical="center"/>
    </xf>
    <xf numFmtId="190" fontId="0" fillId="25" borderId="13" xfId="22" applyNumberFormat="1" applyFont="1" applyFill="1" applyBorder="1" applyAlignment="1" applyProtection="1">
      <alignment horizontal="center" vertical="center" wrapText="1"/>
    </xf>
    <xf numFmtId="0" fontId="3" fillId="25" borderId="27" xfId="4" applyFill="1" applyBorder="1" applyAlignment="1">
      <alignment horizontal="center" vertical="center" wrapText="1"/>
    </xf>
    <xf numFmtId="0" fontId="3" fillId="3" borderId="14" xfId="4" applyFill="1" applyBorder="1" applyAlignment="1">
      <alignment horizontal="left" vertical="center"/>
    </xf>
    <xf numFmtId="0" fontId="3" fillId="3" borderId="4" xfId="4" applyFill="1" applyBorder="1" applyAlignment="1">
      <alignment horizontal="left" vertical="center"/>
    </xf>
    <xf numFmtId="0" fontId="3" fillId="3" borderId="5" xfId="4" applyFill="1" applyBorder="1" applyAlignment="1">
      <alignment horizontal="center" vertical="center"/>
    </xf>
    <xf numFmtId="9" fontId="4" fillId="3" borderId="14" xfId="6" applyFont="1" applyFill="1" applyBorder="1" applyAlignment="1" applyProtection="1">
      <alignment horizontal="center" vertical="center"/>
    </xf>
    <xf numFmtId="168" fontId="4" fillId="3" borderId="6" xfId="6" applyNumberFormat="1" applyFont="1" applyFill="1" applyBorder="1" applyAlignment="1" applyProtection="1">
      <alignment horizontal="center" vertical="center"/>
    </xf>
    <xf numFmtId="0" fontId="3" fillId="0" borderId="15" xfId="4" applyBorder="1" applyAlignment="1">
      <alignment horizontal="left" vertical="center"/>
    </xf>
    <xf numFmtId="0" fontId="3" fillId="0" borderId="7" xfId="4" applyBorder="1" applyAlignment="1">
      <alignment horizontal="left" vertical="center"/>
    </xf>
    <xf numFmtId="2" fontId="3" fillId="0" borderId="9" xfId="4" applyNumberFormat="1" applyBorder="1" applyAlignment="1">
      <alignment horizontal="center" vertical="center"/>
    </xf>
    <xf numFmtId="168" fontId="0" fillId="0" borderId="15" xfId="6" applyNumberFormat="1" applyFont="1" applyBorder="1" applyAlignment="1" applyProtection="1">
      <alignment horizontal="center" vertical="center"/>
    </xf>
    <xf numFmtId="168" fontId="0" fillId="0" borderId="9" xfId="6" applyNumberFormat="1" applyFont="1" applyBorder="1" applyAlignment="1" applyProtection="1">
      <alignment horizontal="center" vertical="center"/>
    </xf>
    <xf numFmtId="0" fontId="7" fillId="0" borderId="28" xfId="3" applyFont="1" applyBorder="1" applyAlignment="1">
      <alignment horizontal="left" vertical="center"/>
    </xf>
    <xf numFmtId="0" fontId="7" fillId="0" borderId="29" xfId="3" applyFont="1" applyBorder="1" applyAlignment="1">
      <alignment horizontal="left" vertical="center"/>
    </xf>
    <xf numFmtId="2" fontId="7" fillId="0" borderId="30" xfId="3" applyNumberFormat="1" applyFont="1" applyBorder="1" applyAlignment="1">
      <alignment horizontal="center" vertical="center"/>
    </xf>
    <xf numFmtId="10" fontId="7" fillId="0" borderId="0" xfId="3" applyNumberFormat="1" applyFont="1" applyAlignment="1">
      <alignment horizontal="center" vertical="center"/>
    </xf>
    <xf numFmtId="0" fontId="7" fillId="0" borderId="31" xfId="3" applyFont="1" applyBorder="1" applyAlignment="1">
      <alignment horizontal="left" vertical="center"/>
    </xf>
    <xf numFmtId="0" fontId="7" fillId="0" borderId="32" xfId="3" applyFont="1" applyBorder="1" applyAlignment="1">
      <alignment horizontal="left" vertical="center"/>
    </xf>
    <xf numFmtId="2" fontId="7" fillId="0" borderId="12" xfId="3" applyNumberFormat="1" applyFont="1" applyBorder="1" applyAlignment="1">
      <alignment horizontal="center" vertical="center"/>
    </xf>
    <xf numFmtId="0" fontId="6" fillId="0" borderId="0" xfId="3" applyFont="1" applyAlignment="1">
      <alignment horizontal="center" vertical="center" wrapText="1"/>
    </xf>
    <xf numFmtId="0" fontId="6" fillId="0" borderId="0" xfId="3" applyFont="1" applyAlignment="1">
      <alignment vertical="center"/>
    </xf>
    <xf numFmtId="169" fontId="6" fillId="0" borderId="0" xfId="3" applyNumberFormat="1" applyFont="1" applyAlignment="1">
      <alignment vertical="center"/>
    </xf>
    <xf numFmtId="0" fontId="51" fillId="0" borderId="0" xfId="3" applyFont="1" applyAlignment="1">
      <alignment vertical="top" wrapText="1"/>
    </xf>
    <xf numFmtId="0" fontId="43" fillId="0" borderId="0" xfId="0" applyFont="1" applyAlignment="1">
      <alignment horizontal="right" vertical="center"/>
    </xf>
    <xf numFmtId="0" fontId="10" fillId="2" borderId="0" xfId="0" applyFont="1" applyFill="1" applyAlignment="1">
      <alignment vertical="center"/>
    </xf>
    <xf numFmtId="172" fontId="1" fillId="2" borderId="7" xfId="21" applyNumberFormat="1" applyFont="1" applyFill="1" applyBorder="1" applyAlignment="1" applyProtection="1">
      <alignment horizontal="center"/>
    </xf>
    <xf numFmtId="0" fontId="0" fillId="2" borderId="7" xfId="0" applyFill="1" applyBorder="1" applyAlignment="1">
      <alignment horizontal="center"/>
    </xf>
    <xf numFmtId="169" fontId="0" fillId="2" borderId="7" xfId="21" applyNumberFormat="1" applyFont="1" applyFill="1" applyBorder="1" applyAlignment="1" applyProtection="1">
      <alignment horizontal="center"/>
    </xf>
    <xf numFmtId="9" fontId="0" fillId="2" borderId="7" xfId="2" applyFont="1" applyFill="1" applyBorder="1" applyAlignment="1">
      <alignment horizontal="center"/>
    </xf>
    <xf numFmtId="0" fontId="5" fillId="0" borderId="0" xfId="0" applyFont="1" applyAlignment="1">
      <alignment horizontal="center" vertical="center"/>
    </xf>
    <xf numFmtId="0" fontId="5" fillId="0" borderId="0" xfId="0" applyFont="1" applyAlignment="1">
      <alignment vertical="center"/>
    </xf>
    <xf numFmtId="0" fontId="44" fillId="0" borderId="0" xfId="0" applyFont="1" applyAlignment="1">
      <alignment vertical="center"/>
    </xf>
    <xf numFmtId="0" fontId="43" fillId="0" borderId="0" xfId="0" applyFont="1" applyAlignment="1">
      <alignment horizontal="center" vertical="center"/>
    </xf>
    <xf numFmtId="0" fontId="10" fillId="0" borderId="0" xfId="0" applyFont="1" applyAlignment="1">
      <alignment horizontal="right" vertical="center"/>
    </xf>
    <xf numFmtId="0" fontId="10" fillId="8" borderId="29" xfId="0" applyFont="1" applyFill="1" applyBorder="1" applyAlignment="1">
      <alignment horizontal="left" vertical="center"/>
    </xf>
    <xf numFmtId="0" fontId="41" fillId="8" borderId="29" xfId="0" applyFont="1" applyFill="1" applyBorder="1" applyAlignment="1">
      <alignment vertical="center" wrapText="1"/>
    </xf>
    <xf numFmtId="0" fontId="42" fillId="8" borderId="29" xfId="0" applyFont="1" applyFill="1" applyBorder="1" applyAlignment="1">
      <alignment horizontal="left" vertical="center"/>
    </xf>
    <xf numFmtId="9" fontId="9" fillId="8" borderId="29" xfId="0" applyNumberFormat="1" applyFont="1" applyFill="1" applyBorder="1" applyAlignment="1">
      <alignment horizontal="left" vertical="center"/>
    </xf>
    <xf numFmtId="14" fontId="9" fillId="8" borderId="29" xfId="0" applyNumberFormat="1" applyFont="1" applyFill="1" applyBorder="1" applyAlignment="1">
      <alignment horizontal="left" vertical="center"/>
    </xf>
    <xf numFmtId="14" fontId="9" fillId="2" borderId="29" xfId="0" applyNumberFormat="1" applyFont="1" applyFill="1" applyBorder="1" applyAlignment="1">
      <alignment horizontal="left" vertical="center"/>
    </xf>
    <xf numFmtId="189" fontId="9" fillId="2" borderId="29" xfId="0" applyNumberFormat="1" applyFont="1" applyFill="1" applyBorder="1" applyAlignment="1">
      <alignment horizontal="left" vertical="center"/>
    </xf>
    <xf numFmtId="189" fontId="9" fillId="0" borderId="0" xfId="0" applyNumberFormat="1" applyFont="1" applyAlignment="1">
      <alignment horizontal="left" vertical="center"/>
    </xf>
    <xf numFmtId="189" fontId="9" fillId="8" borderId="29" xfId="0" applyNumberFormat="1" applyFont="1" applyFill="1" applyBorder="1" applyAlignment="1">
      <alignment horizontal="left" vertical="center"/>
    </xf>
    <xf numFmtId="0" fontId="0" fillId="3" borderId="6" xfId="0" applyFill="1" applyBorder="1" applyAlignment="1">
      <alignment vertical="center" wrapText="1"/>
    </xf>
    <xf numFmtId="0" fontId="0" fillId="0" borderId="8" xfId="0" applyBorder="1" applyAlignment="1">
      <alignment horizontal="left" vertical="center"/>
    </xf>
    <xf numFmtId="0" fontId="0" fillId="0" borderId="9" xfId="0" applyBorder="1" applyAlignment="1">
      <alignment vertical="center"/>
    </xf>
    <xf numFmtId="0" fontId="0" fillId="21" borderId="8" xfId="0" applyFill="1" applyBorder="1" applyAlignment="1">
      <alignment horizontal="left" vertical="center"/>
    </xf>
    <xf numFmtId="0" fontId="0" fillId="21" borderId="11" xfId="0" applyFill="1" applyBorder="1" applyAlignment="1">
      <alignment horizontal="left" vertical="center"/>
    </xf>
    <xf numFmtId="0" fontId="0" fillId="0" borderId="12" xfId="0" applyBorder="1" applyAlignment="1">
      <alignment vertical="center"/>
    </xf>
    <xf numFmtId="9" fontId="53" fillId="0" borderId="0" xfId="2" applyFont="1" applyFill="1" applyBorder="1"/>
    <xf numFmtId="2" fontId="53" fillId="0" borderId="0" xfId="2" applyNumberFormat="1" applyFont="1" applyFill="1" applyBorder="1"/>
    <xf numFmtId="166" fontId="53" fillId="0" borderId="0" xfId="1" applyFont="1" applyFill="1" applyBorder="1"/>
    <xf numFmtId="169" fontId="53" fillId="0" borderId="0" xfId="1" applyNumberFormat="1" applyFont="1" applyFill="1" applyBorder="1" applyAlignment="1">
      <alignment horizontal="center"/>
    </xf>
    <xf numFmtId="166" fontId="53" fillId="0" borderId="0" xfId="1" applyFont="1" applyFill="1" applyBorder="1" applyProtection="1">
      <protection locked="0"/>
    </xf>
    <xf numFmtId="9" fontId="53" fillId="0" borderId="0" xfId="2" applyFont="1" applyFill="1" applyBorder="1" applyAlignment="1">
      <alignment horizontal="center"/>
    </xf>
    <xf numFmtId="10" fontId="53" fillId="0" borderId="0" xfId="2" applyNumberFormat="1" applyFont="1" applyFill="1" applyBorder="1"/>
    <xf numFmtId="172" fontId="53" fillId="0" borderId="0" xfId="1" applyNumberFormat="1" applyFont="1" applyFill="1" applyBorder="1" applyAlignment="1" applyProtection="1">
      <alignment horizontal="center"/>
    </xf>
    <xf numFmtId="9" fontId="53" fillId="0" borderId="0" xfId="2" applyFont="1" applyFill="1" applyBorder="1" applyAlignment="1">
      <alignment horizontal="center" vertical="center"/>
    </xf>
    <xf numFmtId="0" fontId="34" fillId="21" borderId="0" xfId="0" applyFont="1" applyFill="1" applyAlignment="1">
      <alignment vertical="center"/>
    </xf>
    <xf numFmtId="0" fontId="0" fillId="21" borderId="0" xfId="0" applyFill="1" applyAlignment="1">
      <alignment vertical="center"/>
    </xf>
    <xf numFmtId="0" fontId="0" fillId="21" borderId="0" xfId="0" applyFill="1" applyAlignment="1">
      <alignment horizontal="center" vertical="center"/>
    </xf>
    <xf numFmtId="0" fontId="34" fillId="2" borderId="0" xfId="0" applyFont="1" applyFill="1" applyAlignment="1">
      <alignment vertical="center"/>
    </xf>
    <xf numFmtId="0" fontId="0" fillId="2" borderId="0" xfId="0" applyFill="1" applyAlignment="1">
      <alignment horizontal="center" vertical="center"/>
    </xf>
    <xf numFmtId="164" fontId="0" fillId="0" borderId="0" xfId="0" applyNumberFormat="1" applyAlignment="1">
      <alignment vertical="center"/>
    </xf>
    <xf numFmtId="189" fontId="11" fillId="7" borderId="90" xfId="0" applyNumberFormat="1" applyFont="1" applyFill="1" applyBorder="1" applyAlignment="1" applyProtection="1">
      <alignment horizontal="center" vertical="center" wrapText="1"/>
      <protection locked="0"/>
    </xf>
    <xf numFmtId="189" fontId="11" fillId="0" borderId="90" xfId="0" applyNumberFormat="1" applyFont="1" applyBorder="1" applyAlignment="1">
      <alignment vertical="center" wrapText="1"/>
    </xf>
    <xf numFmtId="0" fontId="39" fillId="0" borderId="0" xfId="0" applyFont="1" applyAlignment="1">
      <alignment horizontal="justify" vertical="center" wrapText="1"/>
    </xf>
    <xf numFmtId="0" fontId="39" fillId="0" borderId="0" xfId="0" applyFont="1" applyAlignment="1">
      <alignment vertical="center" wrapText="1"/>
    </xf>
    <xf numFmtId="189" fontId="11" fillId="0" borderId="0" xfId="0" applyNumberFormat="1" applyFont="1" applyAlignment="1">
      <alignment horizontal="right" vertical="center" wrapText="1"/>
    </xf>
    <xf numFmtId="166" fontId="2" fillId="0" borderId="0" xfId="0" applyNumberFormat="1" applyFont="1" applyAlignment="1">
      <alignment horizontal="center" vertical="center"/>
    </xf>
    <xf numFmtId="4" fontId="3" fillId="26" borderId="40" xfId="7" applyNumberFormat="1" applyFill="1" applyBorder="1" applyAlignment="1">
      <alignment vertical="center"/>
    </xf>
    <xf numFmtId="0" fontId="3" fillId="26" borderId="40" xfId="7" applyFill="1" applyBorder="1" applyAlignment="1">
      <alignment vertical="center"/>
    </xf>
    <xf numFmtId="0" fontId="3" fillId="21" borderId="15" xfId="7" applyFill="1" applyBorder="1" applyAlignment="1">
      <alignment horizontal="right" vertical="center" wrapText="1"/>
    </xf>
    <xf numFmtId="0" fontId="11" fillId="23" borderId="105" xfId="0" applyFont="1" applyFill="1" applyBorder="1" applyAlignment="1">
      <alignment horizontal="center" vertical="center" wrapText="1"/>
    </xf>
    <xf numFmtId="0" fontId="11" fillId="23" borderId="106" xfId="0" applyFont="1" applyFill="1" applyBorder="1" applyAlignment="1">
      <alignment horizontal="center" vertical="center" wrapText="1"/>
    </xf>
    <xf numFmtId="189" fontId="11" fillId="0" borderId="83" xfId="0" applyNumberFormat="1" applyFont="1" applyBorder="1" applyAlignment="1">
      <alignment horizontal="right" vertical="center" wrapText="1"/>
    </xf>
    <xf numFmtId="0" fontId="0" fillId="27" borderId="7" xfId="0" applyFill="1" applyBorder="1" applyAlignment="1">
      <alignment vertical="center"/>
    </xf>
    <xf numFmtId="0" fontId="0" fillId="27" borderId="7" xfId="0" applyFill="1" applyBorder="1" applyAlignment="1">
      <alignment vertical="center" wrapText="1"/>
    </xf>
    <xf numFmtId="0" fontId="39" fillId="27" borderId="14" xfId="0" applyFont="1" applyFill="1" applyBorder="1" applyAlignment="1">
      <alignment horizontal="justify" vertical="center" wrapText="1"/>
    </xf>
    <xf numFmtId="0" fontId="0" fillId="27" borderId="4" xfId="0" applyFill="1" applyBorder="1" applyAlignment="1">
      <alignment vertical="center"/>
    </xf>
    <xf numFmtId="0" fontId="11" fillId="0" borderId="6" xfId="0" applyFont="1" applyBorder="1" applyAlignment="1">
      <alignment horizontal="center" vertical="center" wrapText="1"/>
    </xf>
    <xf numFmtId="0" fontId="0" fillId="27" borderId="10" xfId="0" applyFill="1" applyBorder="1" applyAlignment="1">
      <alignment vertical="center" wrapText="1"/>
    </xf>
    <xf numFmtId="0" fontId="0" fillId="27" borderId="4" xfId="0" applyFill="1" applyBorder="1" applyAlignment="1">
      <alignment vertical="center" wrapText="1"/>
    </xf>
    <xf numFmtId="0" fontId="11" fillId="0" borderId="8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90" xfId="0" applyFont="1" applyBorder="1" applyAlignment="1">
      <alignment horizontal="center" vertical="center" wrapText="1"/>
    </xf>
    <xf numFmtId="189" fontId="11" fillId="0" borderId="90" xfId="0" applyNumberFormat="1" applyFont="1" applyBorder="1" applyAlignment="1">
      <alignment horizontal="right" vertical="center" wrapText="1"/>
    </xf>
    <xf numFmtId="0" fontId="11" fillId="0" borderId="12" xfId="0" applyFont="1" applyBorder="1" applyAlignment="1">
      <alignment horizontal="center" vertical="center" wrapText="1"/>
    </xf>
    <xf numFmtId="0" fontId="11" fillId="0" borderId="91" xfId="0" applyFont="1" applyBorder="1" applyAlignment="1">
      <alignment horizontal="center" vertical="center" wrapText="1"/>
    </xf>
    <xf numFmtId="189" fontId="11" fillId="7" borderId="91" xfId="0" applyNumberFormat="1" applyFont="1" applyFill="1" applyBorder="1" applyAlignment="1" applyProtection="1">
      <alignment horizontal="center" vertical="center" wrapText="1"/>
      <protection locked="0"/>
    </xf>
    <xf numFmtId="0" fontId="11" fillId="23" borderId="107" xfId="0" applyFont="1" applyFill="1" applyBorder="1" applyAlignment="1">
      <alignment horizontal="center" vertical="center" wrapText="1"/>
    </xf>
    <xf numFmtId="0" fontId="11" fillId="27" borderId="104" xfId="0" applyFont="1" applyFill="1" applyBorder="1" applyAlignment="1">
      <alignment horizontal="justify" vertical="center" wrapText="1"/>
    </xf>
    <xf numFmtId="0" fontId="39" fillId="0" borderId="15" xfId="0" applyFont="1" applyBorder="1" applyAlignment="1">
      <alignment horizontal="justify" vertical="center" wrapText="1"/>
    </xf>
    <xf numFmtId="0" fontId="39" fillId="0" borderId="16" xfId="0" applyFont="1" applyBorder="1" applyAlignment="1">
      <alignment horizontal="justify" vertical="center" wrapText="1"/>
    </xf>
    <xf numFmtId="0" fontId="0" fillId="0" borderId="15" xfId="0" applyBorder="1" applyAlignment="1">
      <alignment horizontal="right" vertical="center"/>
    </xf>
    <xf numFmtId="0" fontId="0" fillId="0" borderId="15" xfId="0" applyBorder="1" applyAlignment="1">
      <alignment vertical="center"/>
    </xf>
    <xf numFmtId="0" fontId="0" fillId="0" borderId="16" xfId="0" applyBorder="1" applyAlignment="1">
      <alignment horizontal="right" vertical="center"/>
    </xf>
    <xf numFmtId="4" fontId="3" fillId="0" borderId="61" xfId="7" applyNumberFormat="1" applyBorder="1" applyAlignment="1">
      <alignment horizontal="center" vertical="center" wrapText="1"/>
    </xf>
    <xf numFmtId="4" fontId="3" fillId="0" borderId="68" xfId="7" applyNumberFormat="1" applyBorder="1" applyAlignment="1">
      <alignment horizontal="center" vertical="center" wrapText="1"/>
    </xf>
    <xf numFmtId="4" fontId="3" fillId="0" borderId="55" xfId="7" applyNumberFormat="1" applyBorder="1" applyAlignment="1">
      <alignment horizontal="center" vertical="center" wrapText="1"/>
    </xf>
    <xf numFmtId="0" fontId="3" fillId="27" borderId="7" xfId="7" applyFill="1" applyBorder="1" applyAlignment="1">
      <alignment vertical="center" wrapText="1"/>
    </xf>
    <xf numFmtId="4" fontId="3" fillId="0" borderId="55" xfId="7" applyNumberFormat="1" applyBorder="1" applyAlignment="1" applyProtection="1">
      <alignment horizontal="center" vertical="center" wrapText="1"/>
      <protection locked="0"/>
    </xf>
    <xf numFmtId="0" fontId="53" fillId="0" borderId="0" xfId="0" applyFont="1"/>
    <xf numFmtId="0" fontId="59" fillId="0" borderId="0" xfId="0" applyFont="1"/>
    <xf numFmtId="14" fontId="53" fillId="0" borderId="0" xfId="0" applyNumberFormat="1" applyFont="1"/>
    <xf numFmtId="9" fontId="53" fillId="0" borderId="0" xfId="0" applyNumberFormat="1" applyFont="1"/>
    <xf numFmtId="172" fontId="53" fillId="0" borderId="0" xfId="0" applyNumberFormat="1" applyFont="1"/>
    <xf numFmtId="0" fontId="53" fillId="0" borderId="0" xfId="0" applyFont="1" applyAlignment="1">
      <alignment horizontal="center"/>
    </xf>
    <xf numFmtId="9" fontId="53" fillId="0" borderId="0" xfId="0" applyNumberFormat="1" applyFont="1" applyAlignment="1">
      <alignment horizontal="center"/>
    </xf>
    <xf numFmtId="0" fontId="53" fillId="0" borderId="0" xfId="0" applyFont="1" applyAlignment="1" applyProtection="1">
      <alignment horizontal="center"/>
      <protection locked="0"/>
    </xf>
    <xf numFmtId="187" fontId="53" fillId="0" borderId="0" xfId="0" applyNumberFormat="1" applyFont="1"/>
    <xf numFmtId="0" fontId="53" fillId="0" borderId="0" xfId="0" applyFont="1" applyAlignment="1">
      <alignment horizontal="right"/>
    </xf>
    <xf numFmtId="188" fontId="53" fillId="0" borderId="0" xfId="0" applyNumberFormat="1" applyFont="1" applyAlignment="1">
      <alignment horizontal="left"/>
    </xf>
    <xf numFmtId="0" fontId="53" fillId="0" borderId="0" xfId="0" applyFont="1" applyAlignment="1">
      <alignment horizontal="center" wrapText="1"/>
    </xf>
    <xf numFmtId="166" fontId="53" fillId="0" borderId="0" xfId="0" applyNumberFormat="1" applyFont="1" applyAlignment="1">
      <alignment horizontal="center" wrapText="1"/>
    </xf>
    <xf numFmtId="2" fontId="53" fillId="0" borderId="0" xfId="0" applyNumberFormat="1" applyFont="1"/>
    <xf numFmtId="0" fontId="54" fillId="0" borderId="0" xfId="0" applyFont="1" applyAlignment="1">
      <alignment horizontal="left" indent="1"/>
    </xf>
    <xf numFmtId="171" fontId="53" fillId="0" borderId="0" xfId="0" applyNumberFormat="1" applyFont="1"/>
    <xf numFmtId="0" fontId="55" fillId="0" borderId="0" xfId="0" applyFont="1" applyAlignment="1">
      <alignment horizontal="left" indent="4"/>
    </xf>
    <xf numFmtId="0" fontId="56" fillId="0" borderId="0" xfId="0" applyFont="1"/>
    <xf numFmtId="14" fontId="53" fillId="0" borderId="0" xfId="0" applyNumberFormat="1" applyFont="1" applyAlignment="1">
      <alignment vertical="center" wrapText="1"/>
    </xf>
    <xf numFmtId="0" fontId="53" fillId="0" borderId="0" xfId="0" applyFont="1" applyAlignment="1">
      <alignment vertical="center" wrapText="1"/>
    </xf>
    <xf numFmtId="187" fontId="53" fillId="0" borderId="0" xfId="0" applyNumberFormat="1" applyFont="1" applyAlignment="1">
      <alignment vertical="center" wrapText="1"/>
    </xf>
    <xf numFmtId="0" fontId="53" fillId="0" borderId="0" xfId="0" applyFont="1" applyAlignment="1">
      <alignment horizontal="center" vertical="center" wrapText="1"/>
    </xf>
    <xf numFmtId="15" fontId="53" fillId="0" borderId="0" xfId="0" applyNumberFormat="1" applyFont="1" applyAlignment="1">
      <alignment horizontal="center"/>
    </xf>
    <xf numFmtId="166" fontId="53" fillId="0" borderId="0" xfId="0" applyNumberFormat="1" applyFont="1"/>
    <xf numFmtId="1" fontId="53" fillId="0" borderId="0" xfId="0" applyNumberFormat="1" applyFont="1" applyAlignment="1">
      <alignment horizontal="center"/>
    </xf>
    <xf numFmtId="4" fontId="53" fillId="0" borderId="0" xfId="0" applyNumberFormat="1" applyFont="1" applyAlignment="1">
      <alignment horizontal="center"/>
    </xf>
    <xf numFmtId="2" fontId="53" fillId="0" borderId="0" xfId="0" applyNumberFormat="1" applyFont="1" applyAlignment="1">
      <alignment horizontal="center"/>
    </xf>
    <xf numFmtId="0" fontId="57" fillId="0" borderId="0" xfId="0" applyFont="1"/>
    <xf numFmtId="0" fontId="53" fillId="0" borderId="0" xfId="0" applyFont="1" applyProtection="1">
      <protection locked="0"/>
    </xf>
    <xf numFmtId="0" fontId="53" fillId="0" borderId="0" xfId="0" applyFont="1" applyAlignment="1" applyProtection="1">
      <alignment vertical="top"/>
      <protection locked="0"/>
    </xf>
    <xf numFmtId="0" fontId="53" fillId="0" borderId="0" xfId="0" applyFont="1" applyAlignment="1">
      <alignment wrapText="1"/>
    </xf>
    <xf numFmtId="0" fontId="52" fillId="0" borderId="0" xfId="0" applyFont="1" applyAlignment="1">
      <alignment horizontal="center"/>
    </xf>
    <xf numFmtId="170" fontId="53" fillId="0" borderId="0" xfId="0" applyNumberFormat="1" applyFont="1" applyAlignment="1">
      <alignment horizontal="center" vertical="center"/>
    </xf>
    <xf numFmtId="0" fontId="53" fillId="0" borderId="0" xfId="0" applyFont="1" applyAlignment="1">
      <alignment vertical="top" wrapText="1"/>
    </xf>
    <xf numFmtId="0" fontId="52" fillId="0" borderId="0" xfId="0" applyFont="1"/>
    <xf numFmtId="0" fontId="43" fillId="27" borderId="0" xfId="0" applyFont="1" applyFill="1" applyAlignment="1">
      <alignment horizontal="center" vertical="center"/>
    </xf>
    <xf numFmtId="0" fontId="11" fillId="0" borderId="0" xfId="0" applyFont="1" applyAlignment="1">
      <alignment horizontal="justify" vertical="center" wrapText="1"/>
    </xf>
    <xf numFmtId="166" fontId="2" fillId="26" borderId="0" xfId="0" applyNumberFormat="1" applyFont="1" applyFill="1" applyAlignment="1">
      <alignment horizontal="center" vertical="center"/>
    </xf>
    <xf numFmtId="166" fontId="2" fillId="28" borderId="0" xfId="0" applyNumberFormat="1" applyFont="1" applyFill="1" applyAlignment="1">
      <alignment horizontal="center" vertical="center"/>
    </xf>
    <xf numFmtId="189" fontId="11" fillId="26" borderId="104" xfId="0" applyNumberFormat="1" applyFont="1" applyFill="1" applyBorder="1" applyAlignment="1">
      <alignment horizontal="center" vertical="center" wrapText="1"/>
    </xf>
    <xf numFmtId="189" fontId="11" fillId="28" borderId="104" xfId="0" applyNumberFormat="1" applyFont="1" applyFill="1" applyBorder="1" applyAlignment="1">
      <alignment horizontal="center" vertical="center" wrapText="1"/>
    </xf>
    <xf numFmtId="9" fontId="39" fillId="0" borderId="35" xfId="0" applyNumberFormat="1" applyFont="1" applyBorder="1" applyAlignment="1">
      <alignment horizontal="center" vertical="center"/>
    </xf>
    <xf numFmtId="9" fontId="39" fillId="0" borderId="35" xfId="0" applyNumberFormat="1" applyFont="1" applyBorder="1" applyAlignment="1">
      <alignment horizontal="center" vertical="center" wrapText="1"/>
    </xf>
    <xf numFmtId="164" fontId="2" fillId="29" borderId="0" xfId="0" applyNumberFormat="1" applyFont="1" applyFill="1" applyAlignment="1">
      <alignment horizontal="center"/>
    </xf>
    <xf numFmtId="189" fontId="11" fillId="29" borderId="104" xfId="0" applyNumberFormat="1" applyFont="1" applyFill="1" applyBorder="1" applyAlignment="1">
      <alignment horizontal="center" vertical="center" wrapText="1"/>
    </xf>
    <xf numFmtId="0" fontId="39" fillId="29" borderId="3" xfId="0" applyFont="1" applyFill="1" applyBorder="1" applyAlignment="1">
      <alignment horizontal="center" vertical="center"/>
    </xf>
    <xf numFmtId="0" fontId="39" fillId="29" borderId="35" xfId="0" applyFont="1" applyFill="1" applyBorder="1" applyAlignment="1">
      <alignment horizontal="center" vertical="center"/>
    </xf>
    <xf numFmtId="0" fontId="39" fillId="0" borderId="83" xfId="0" applyFont="1" applyBorder="1" applyAlignment="1">
      <alignment vertical="center"/>
    </xf>
    <xf numFmtId="0" fontId="63" fillId="22" borderId="117" xfId="0" applyFont="1" applyFill="1" applyBorder="1" applyAlignment="1">
      <alignment horizontal="center" vertical="center" wrapText="1"/>
    </xf>
    <xf numFmtId="0" fontId="63" fillId="22" borderId="118" xfId="0" applyFont="1" applyFill="1" applyBorder="1" applyAlignment="1">
      <alignment horizontal="center" vertical="center" wrapText="1"/>
    </xf>
    <xf numFmtId="0" fontId="63" fillId="22" borderId="120" xfId="0" applyFont="1" applyFill="1" applyBorder="1" applyAlignment="1">
      <alignment horizontal="center" vertical="center" wrapText="1"/>
    </xf>
    <xf numFmtId="0" fontId="63" fillId="22" borderId="119" xfId="0" applyFont="1" applyFill="1" applyBorder="1" applyAlignment="1">
      <alignment horizontal="center" vertical="center" wrapText="1"/>
    </xf>
    <xf numFmtId="0" fontId="0" fillId="7" borderId="7" xfId="0" applyFill="1" applyBorder="1" applyAlignment="1" applyProtection="1">
      <alignment horizontal="left" vertical="center"/>
      <protection locked="0"/>
    </xf>
    <xf numFmtId="2" fontId="7" fillId="0" borderId="0" xfId="3" applyNumberFormat="1" applyFont="1" applyAlignment="1">
      <alignment horizontal="center" vertical="center"/>
    </xf>
    <xf numFmtId="0" fontId="0" fillId="0" borderId="45" xfId="0" applyBorder="1" applyAlignment="1" applyProtection="1">
      <alignment horizontal="left" vertical="center"/>
      <protection locked="0"/>
    </xf>
    <xf numFmtId="0" fontId="7" fillId="0" borderId="0" xfId="3" applyFont="1" applyAlignment="1">
      <alignment horizontal="right" vertical="center"/>
    </xf>
    <xf numFmtId="0" fontId="64" fillId="0" borderId="0" xfId="3" applyFont="1" applyAlignment="1">
      <alignment horizontal="right" vertical="center"/>
    </xf>
    <xf numFmtId="189" fontId="64" fillId="0" borderId="0" xfId="0" applyNumberFormat="1" applyFont="1" applyAlignment="1">
      <alignment horizontal="left" vertical="center"/>
    </xf>
    <xf numFmtId="2" fontId="64" fillId="0" borderId="0" xfId="3" applyNumberFormat="1" applyFont="1" applyAlignment="1">
      <alignment horizontal="left" vertical="center"/>
    </xf>
    <xf numFmtId="10" fontId="64" fillId="0" borderId="0" xfId="3" applyNumberFormat="1" applyFont="1" applyAlignment="1">
      <alignment horizontal="right" vertical="center"/>
    </xf>
    <xf numFmtId="0" fontId="64" fillId="0" borderId="0" xfId="3" applyFont="1" applyAlignment="1">
      <alignment horizontal="left" vertical="center"/>
    </xf>
    <xf numFmtId="0" fontId="43" fillId="0" borderId="0" xfId="0" applyFont="1" applyAlignment="1">
      <alignment horizontal="left" vertical="center"/>
    </xf>
    <xf numFmtId="0" fontId="39" fillId="0" borderId="85" xfId="0" applyFont="1" applyBorder="1" applyAlignment="1">
      <alignment horizontal="justify" vertical="center" wrapText="1"/>
    </xf>
    <xf numFmtId="0" fontId="39" fillId="0" borderId="89" xfId="0" applyFont="1" applyBorder="1" applyAlignment="1">
      <alignment horizontal="justify" vertical="center" wrapText="1"/>
    </xf>
    <xf numFmtId="0" fontId="14" fillId="0" borderId="0" xfId="0" applyFont="1" applyAlignment="1">
      <alignment horizontal="left" vertical="center"/>
    </xf>
    <xf numFmtId="0" fontId="4" fillId="0" borderId="0" xfId="0" applyFont="1" applyAlignment="1">
      <alignment horizontal="right" vertical="center" shrinkToFit="1"/>
    </xf>
    <xf numFmtId="0" fontId="4" fillId="0" borderId="0" xfId="0" applyFont="1" applyAlignment="1">
      <alignment horizontal="left" vertical="center" wrapText="1"/>
    </xf>
    <xf numFmtId="0" fontId="3" fillId="0" borderId="0" xfId="0" applyFont="1" applyAlignment="1">
      <alignment horizontal="left" vertical="top" wrapText="1"/>
    </xf>
    <xf numFmtId="0" fontId="11" fillId="0" borderId="103" xfId="0" applyFont="1" applyBorder="1" applyAlignment="1">
      <alignment horizontal="justify" vertical="center" wrapText="1"/>
    </xf>
    <xf numFmtId="0" fontId="11" fillId="0" borderId="85" xfId="0" applyFont="1" applyBorder="1" applyAlignment="1">
      <alignment horizontal="justify" vertical="center" wrapText="1"/>
    </xf>
    <xf numFmtId="0" fontId="11" fillId="0" borderId="83" xfId="0" applyFont="1" applyBorder="1" applyAlignment="1">
      <alignment horizontal="justify" vertical="center" wrapText="1"/>
    </xf>
    <xf numFmtId="0" fontId="11" fillId="0" borderId="89" xfId="0" applyFont="1" applyBorder="1" applyAlignment="1">
      <alignment horizontal="justify" vertical="center" wrapText="1"/>
    </xf>
    <xf numFmtId="0" fontId="3" fillId="0" borderId="0" xfId="0" applyFont="1" applyAlignment="1">
      <alignment horizontal="left" vertical="center" wrapText="1"/>
    </xf>
    <xf numFmtId="0" fontId="60" fillId="0" borderId="0" xfId="0" applyFont="1" applyAlignment="1">
      <alignment horizontal="left" vertical="center" wrapText="1"/>
    </xf>
    <xf numFmtId="0" fontId="39" fillId="0" borderId="85" xfId="0" applyFont="1" applyBorder="1" applyAlignment="1">
      <alignment horizontal="justify" vertical="top" wrapText="1"/>
    </xf>
    <xf numFmtId="0" fontId="39" fillId="0" borderId="92" xfId="0" applyFont="1" applyBorder="1" applyAlignment="1">
      <alignment horizontal="left" vertical="top" wrapText="1"/>
    </xf>
    <xf numFmtId="0" fontId="39" fillId="0" borderId="85" xfId="0" applyFont="1" applyBorder="1" applyAlignment="1">
      <alignment horizontal="left" vertical="top" wrapText="1"/>
    </xf>
    <xf numFmtId="0" fontId="39" fillId="0" borderId="89" xfId="0" applyFont="1" applyBorder="1" applyAlignment="1">
      <alignment horizontal="left" vertical="top" wrapText="1"/>
    </xf>
    <xf numFmtId="0" fontId="39" fillId="0" borderId="92" xfId="0" applyFont="1" applyBorder="1" applyAlignment="1">
      <alignment horizontal="justify" vertical="top" wrapText="1"/>
    </xf>
    <xf numFmtId="0" fontId="39" fillId="0" borderId="83" xfId="0" applyFont="1" applyBorder="1" applyAlignment="1">
      <alignment horizontal="justify" vertical="top" wrapText="1"/>
    </xf>
    <xf numFmtId="0" fontId="39" fillId="0" borderId="85" xfId="20" applyFont="1" applyBorder="1" applyAlignment="1">
      <alignment horizontal="left" vertical="top" wrapText="1"/>
    </xf>
    <xf numFmtId="0" fontId="39" fillId="0" borderId="83" xfId="20" applyFont="1" applyBorder="1" applyAlignment="1">
      <alignment horizontal="left" vertical="top" wrapText="1"/>
    </xf>
    <xf numFmtId="0" fontId="62" fillId="22" borderId="120" xfId="0" applyFont="1" applyFill="1" applyBorder="1" applyAlignment="1">
      <alignment horizontal="center" vertical="center" wrapText="1"/>
    </xf>
    <xf numFmtId="0" fontId="62" fillId="22" borderId="117" xfId="0" applyFont="1" applyFill="1" applyBorder="1" applyAlignment="1">
      <alignment horizontal="center" vertical="center" wrapText="1"/>
    </xf>
    <xf numFmtId="0" fontId="61" fillId="22" borderId="114" xfId="0" applyFont="1" applyFill="1" applyBorder="1" applyAlignment="1">
      <alignment horizontal="center" vertical="center" wrapText="1"/>
    </xf>
    <xf numFmtId="0" fontId="61" fillId="22" borderId="115" xfId="0" applyFont="1" applyFill="1" applyBorder="1" applyAlignment="1">
      <alignment horizontal="center" vertical="center" wrapText="1"/>
    </xf>
    <xf numFmtId="0" fontId="61" fillId="22" borderId="116" xfId="0" applyFont="1" applyFill="1" applyBorder="1" applyAlignment="1">
      <alignment horizontal="center" vertical="center" wrapText="1"/>
    </xf>
    <xf numFmtId="0" fontId="61" fillId="22" borderId="123" xfId="0" applyFont="1" applyFill="1" applyBorder="1" applyAlignment="1">
      <alignment horizontal="center" vertical="center" wrapText="1"/>
    </xf>
    <xf numFmtId="0" fontId="61" fillId="22" borderId="122" xfId="0" applyFont="1" applyFill="1" applyBorder="1" applyAlignment="1">
      <alignment horizontal="center" vertical="center" wrapText="1"/>
    </xf>
    <xf numFmtId="0" fontId="61" fillId="22" borderId="124" xfId="0" applyFont="1" applyFill="1" applyBorder="1" applyAlignment="1">
      <alignment horizontal="center" vertical="center" wrapText="1"/>
    </xf>
    <xf numFmtId="0" fontId="61" fillId="22" borderId="125" xfId="0" applyFont="1" applyFill="1" applyBorder="1" applyAlignment="1">
      <alignment horizontal="center" vertical="center" wrapText="1"/>
    </xf>
    <xf numFmtId="0" fontId="61" fillId="22" borderId="0" xfId="0" applyFont="1" applyFill="1" applyAlignment="1">
      <alignment horizontal="center" vertical="center" wrapText="1"/>
    </xf>
    <xf numFmtId="0" fontId="61" fillId="22" borderId="119" xfId="0" applyFont="1" applyFill="1" applyBorder="1" applyAlignment="1">
      <alignment horizontal="center" vertical="center" wrapText="1"/>
    </xf>
    <xf numFmtId="0" fontId="62" fillId="22" borderId="114" xfId="0" applyFont="1" applyFill="1" applyBorder="1" applyAlignment="1">
      <alignment horizontal="center" vertical="center" wrapText="1"/>
    </xf>
    <xf numFmtId="0" fontId="62" fillId="22" borderId="115" xfId="0" applyFont="1" applyFill="1" applyBorder="1" applyAlignment="1">
      <alignment horizontal="center" vertical="center" wrapText="1"/>
    </xf>
    <xf numFmtId="0" fontId="62" fillId="22" borderId="116" xfId="0" applyFont="1" applyFill="1" applyBorder="1" applyAlignment="1">
      <alignment horizontal="center" vertical="center" wrapText="1"/>
    </xf>
    <xf numFmtId="0" fontId="62" fillId="22" borderId="121" xfId="0" applyFont="1" applyFill="1" applyBorder="1" applyAlignment="1">
      <alignment horizontal="center" vertical="center" wrapText="1"/>
    </xf>
    <xf numFmtId="0" fontId="0" fillId="0" borderId="0" xfId="0" applyAlignment="1">
      <alignment horizontal="left" vertical="center"/>
    </xf>
    <xf numFmtId="0" fontId="46" fillId="0" borderId="0" xfId="0" applyFont="1" applyAlignment="1">
      <alignment horizontal="center" vertical="center"/>
    </xf>
    <xf numFmtId="14" fontId="47" fillId="2" borderId="0" xfId="0" applyNumberFormat="1" applyFont="1" applyFill="1" applyAlignment="1">
      <alignment horizontal="center" vertical="center"/>
    </xf>
    <xf numFmtId="0" fontId="0" fillId="0" borderId="57" xfId="0" applyBorder="1" applyAlignment="1">
      <alignment horizontal="left" vertical="center"/>
    </xf>
    <xf numFmtId="0" fontId="0" fillId="0" borderId="59" xfId="0"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3" borderId="4" xfId="0" applyFill="1" applyBorder="1" applyAlignment="1">
      <alignment horizontal="center" vertical="center" wrapText="1"/>
    </xf>
    <xf numFmtId="0" fontId="0" fillId="3" borderId="6" xfId="0" applyFill="1" applyBorder="1" applyAlignment="1">
      <alignment horizontal="center" vertical="center" wrapText="1"/>
    </xf>
    <xf numFmtId="0" fontId="9" fillId="21" borderId="29" xfId="0" applyFont="1" applyFill="1" applyBorder="1" applyAlignment="1" applyProtection="1">
      <alignment horizontal="left"/>
      <protection locked="0"/>
    </xf>
    <xf numFmtId="0" fontId="10" fillId="2" borderId="0" xfId="0" applyFont="1" applyFill="1" applyAlignment="1">
      <alignment horizontal="left" vertical="center" wrapText="1"/>
    </xf>
    <xf numFmtId="0" fontId="5" fillId="0" borderId="0" xfId="0" applyFont="1" applyAlignment="1">
      <alignment horizontal="center" vertical="center"/>
    </xf>
    <xf numFmtId="0" fontId="45" fillId="0" borderId="0" xfId="0" applyFont="1" applyAlignment="1">
      <alignment horizontal="left" vertical="center" wrapText="1"/>
    </xf>
    <xf numFmtId="0" fontId="2" fillId="5" borderId="21" xfId="0" applyFont="1" applyFill="1" applyBorder="1" applyAlignment="1">
      <alignment horizontal="left" vertical="center"/>
    </xf>
    <xf numFmtId="0" fontId="2" fillId="5" borderId="22" xfId="0" applyFont="1" applyFill="1" applyBorder="1" applyAlignment="1">
      <alignment horizontal="left" vertical="center"/>
    </xf>
    <xf numFmtId="0" fontId="2" fillId="5" borderId="23" xfId="0" applyFont="1" applyFill="1" applyBorder="1" applyAlignment="1">
      <alignment horizontal="left" vertical="center"/>
    </xf>
    <xf numFmtId="0" fontId="39" fillId="0" borderId="84" xfId="0" applyFont="1" applyBorder="1" applyAlignment="1">
      <alignment vertical="center"/>
    </xf>
    <xf numFmtId="0" fontId="39" fillId="0" borderId="83" xfId="0" applyFont="1" applyBorder="1" applyAlignment="1">
      <alignment vertical="center"/>
    </xf>
    <xf numFmtId="0" fontId="39" fillId="26" borderId="84" xfId="0" applyFont="1" applyFill="1" applyBorder="1" applyAlignment="1">
      <alignment horizontal="center" vertical="center" wrapText="1"/>
    </xf>
    <xf numFmtId="0" fontId="39" fillId="26" borderId="83" xfId="0" applyFont="1" applyFill="1" applyBorder="1" applyAlignment="1">
      <alignment horizontal="center" vertical="center" wrapText="1"/>
    </xf>
    <xf numFmtId="0" fontId="39" fillId="24" borderId="84" xfId="0" applyFont="1" applyFill="1" applyBorder="1" applyAlignment="1">
      <alignment horizontal="center" vertical="center" wrapText="1"/>
    </xf>
    <xf numFmtId="0" fontId="39" fillId="24" borderId="83" xfId="0" applyFont="1" applyFill="1" applyBorder="1" applyAlignment="1">
      <alignment horizontal="center" vertical="center" wrapText="1"/>
    </xf>
    <xf numFmtId="0" fontId="39" fillId="0" borderId="84" xfId="0" applyFont="1" applyBorder="1" applyAlignment="1">
      <alignment horizontal="center" vertical="center" wrapText="1"/>
    </xf>
    <xf numFmtId="0" fontId="39" fillId="0" borderId="83" xfId="0" applyFont="1" applyBorder="1" applyAlignment="1">
      <alignment horizontal="center" vertical="center" wrapText="1"/>
    </xf>
    <xf numFmtId="0" fontId="2" fillId="25" borderId="21" xfId="4" applyFont="1" applyFill="1" applyBorder="1" applyAlignment="1">
      <alignment horizontal="center" vertical="center" wrapText="1"/>
    </xf>
    <xf numFmtId="0" fontId="2" fillId="25" borderId="24" xfId="4" applyFont="1" applyFill="1" applyBorder="1" applyAlignment="1">
      <alignment horizontal="center" vertical="center" wrapText="1"/>
    </xf>
    <xf numFmtId="0" fontId="51" fillId="0" borderId="0" xfId="3" applyFont="1" applyAlignment="1">
      <alignment horizontal="left" vertical="top" wrapText="1"/>
    </xf>
    <xf numFmtId="0" fontId="3" fillId="0" borderId="0" xfId="3" applyFont="1" applyAlignment="1">
      <alignment horizontal="left" vertical="center"/>
    </xf>
    <xf numFmtId="0" fontId="6" fillId="0" borderId="0" xfId="3" applyFont="1" applyAlignment="1">
      <alignment horizontal="left" vertical="top" wrapText="1"/>
    </xf>
    <xf numFmtId="0" fontId="4" fillId="0" borderId="21" xfId="3" applyFont="1" applyBorder="1" applyAlignment="1">
      <alignment horizontal="center" vertical="center" wrapText="1"/>
    </xf>
    <xf numFmtId="0" fontId="4" fillId="0" borderId="22" xfId="3" applyFont="1" applyBorder="1" applyAlignment="1">
      <alignment horizontal="center" vertical="center" wrapText="1"/>
    </xf>
    <xf numFmtId="0" fontId="4" fillId="0" borderId="23" xfId="3" applyFont="1" applyBorder="1" applyAlignment="1">
      <alignment horizontal="center" vertical="center" wrapText="1"/>
    </xf>
    <xf numFmtId="0" fontId="7" fillId="0" borderId="21" xfId="3" applyFont="1" applyBorder="1" applyAlignment="1">
      <alignment horizontal="left" vertical="center" wrapText="1"/>
    </xf>
    <xf numFmtId="0" fontId="7" fillId="0" borderId="22" xfId="3" applyFont="1" applyBorder="1" applyAlignment="1">
      <alignment horizontal="left" vertical="center" wrapText="1"/>
    </xf>
    <xf numFmtId="0" fontId="7" fillId="0" borderId="24" xfId="3" applyFont="1" applyBorder="1" applyAlignment="1">
      <alignment horizontal="left" vertical="center" wrapText="1"/>
    </xf>
    <xf numFmtId="0" fontId="50" fillId="0" borderId="0" xfId="3" applyFont="1" applyAlignment="1">
      <alignment horizontal="center" vertical="center"/>
    </xf>
    <xf numFmtId="0" fontId="4" fillId="0" borderId="0" xfId="3" applyFont="1" applyAlignment="1">
      <alignment horizontal="center" vertical="center"/>
    </xf>
    <xf numFmtId="0" fontId="16" fillId="0" borderId="1" xfId="7" applyFont="1" applyBorder="1" applyAlignment="1">
      <alignment horizontal="center" vertical="center"/>
    </xf>
    <xf numFmtId="0" fontId="17" fillId="0" borderId="2" xfId="7" applyFont="1" applyBorder="1" applyAlignment="1">
      <alignment horizontal="center" vertical="center"/>
    </xf>
    <xf numFmtId="0" fontId="17" fillId="0" borderId="3" xfId="7" applyFont="1" applyBorder="1" applyAlignment="1">
      <alignment horizontal="center" vertical="center"/>
    </xf>
    <xf numFmtId="0" fontId="17" fillId="0" borderId="33" xfId="7" applyFont="1" applyBorder="1" applyAlignment="1">
      <alignment horizontal="center" vertical="center"/>
    </xf>
    <xf numFmtId="0" fontId="17" fillId="0" borderId="0" xfId="7" applyFont="1" applyAlignment="1">
      <alignment horizontal="center" vertical="center"/>
    </xf>
    <xf numFmtId="0" fontId="17" fillId="0" borderId="17" xfId="7" applyFont="1" applyBorder="1" applyAlignment="1">
      <alignment horizontal="center" vertical="center"/>
    </xf>
    <xf numFmtId="0" fontId="17" fillId="0" borderId="34" xfId="7" applyFont="1" applyBorder="1" applyAlignment="1">
      <alignment horizontal="center" vertical="center"/>
    </xf>
    <xf numFmtId="0" fontId="17" fillId="0" borderId="25" xfId="7" applyFont="1" applyBorder="1" applyAlignment="1">
      <alignment horizontal="center" vertical="center"/>
    </xf>
    <xf numFmtId="0" fontId="17" fillId="0" borderId="35" xfId="7" applyFont="1" applyBorder="1" applyAlignment="1">
      <alignment horizontal="center" vertical="center"/>
    </xf>
    <xf numFmtId="0" fontId="13" fillId="0" borderId="60" xfId="7" applyFont="1" applyBorder="1" applyAlignment="1">
      <alignment horizontal="center" wrapText="1"/>
    </xf>
    <xf numFmtId="0" fontId="13" fillId="0" borderId="2" xfId="7" applyFont="1" applyBorder="1" applyAlignment="1">
      <alignment horizontal="center" wrapText="1"/>
    </xf>
    <xf numFmtId="0" fontId="13" fillId="0" borderId="52" xfId="7" applyFont="1" applyBorder="1" applyAlignment="1">
      <alignment horizontal="center" wrapText="1"/>
    </xf>
    <xf numFmtId="0" fontId="13" fillId="0" borderId="0" xfId="7" applyFont="1" applyAlignment="1">
      <alignment horizontal="center" wrapText="1"/>
    </xf>
    <xf numFmtId="0" fontId="14" fillId="0" borderId="1" xfId="7" applyFont="1" applyBorder="1" applyAlignment="1">
      <alignment horizontal="center"/>
    </xf>
    <xf numFmtId="0" fontId="3" fillId="0" borderId="48" xfId="7" applyBorder="1" applyAlignment="1">
      <alignment horizontal="center"/>
    </xf>
    <xf numFmtId="0" fontId="14" fillId="0" borderId="28" xfId="7" applyFont="1" applyBorder="1" applyAlignment="1">
      <alignment horizontal="center"/>
    </xf>
    <xf numFmtId="0" fontId="3" fillId="0" borderId="47" xfId="7" applyBorder="1" applyAlignment="1">
      <alignment horizontal="center"/>
    </xf>
    <xf numFmtId="0" fontId="13" fillId="0" borderId="52" xfId="7" applyFont="1" applyBorder="1" applyAlignment="1">
      <alignment horizontal="center" vertical="center"/>
    </xf>
    <xf numFmtId="0" fontId="13" fillId="0" borderId="65" xfId="7" applyFont="1" applyBorder="1" applyAlignment="1">
      <alignment horizontal="center" vertical="center"/>
    </xf>
    <xf numFmtId="0" fontId="13" fillId="0" borderId="0" xfId="7" applyFont="1" applyAlignment="1">
      <alignment horizontal="center" vertical="center"/>
    </xf>
    <xf numFmtId="0" fontId="13" fillId="0" borderId="25" xfId="7" applyFont="1" applyBorder="1" applyAlignment="1">
      <alignment horizontal="center" vertical="center"/>
    </xf>
    <xf numFmtId="173" fontId="18" fillId="0" borderId="8" xfId="7" applyNumberFormat="1" applyFont="1" applyBorder="1" applyAlignment="1">
      <alignment horizontal="left"/>
    </xf>
    <xf numFmtId="173" fontId="18" fillId="0" borderId="41" xfId="7" applyNumberFormat="1" applyFont="1" applyBorder="1" applyAlignment="1">
      <alignment horizontal="left"/>
    </xf>
    <xf numFmtId="0" fontId="19" fillId="0" borderId="13" xfId="7" applyFont="1" applyBorder="1" applyAlignment="1">
      <alignment horizontal="center" vertical="center"/>
    </xf>
    <xf numFmtId="0" fontId="3" fillId="0" borderId="61" xfId="7" applyBorder="1" applyAlignment="1">
      <alignment horizontal="center" vertical="center"/>
    </xf>
    <xf numFmtId="0" fontId="3" fillId="0" borderId="64" xfId="7" applyBorder="1" applyAlignment="1">
      <alignment horizontal="center" vertical="center"/>
    </xf>
    <xf numFmtId="0" fontId="19" fillId="0" borderId="60" xfId="7" applyFont="1" applyBorder="1" applyAlignment="1">
      <alignment horizontal="center" vertical="center"/>
    </xf>
    <xf numFmtId="0" fontId="3" fillId="0" borderId="2" xfId="7" applyBorder="1" applyAlignment="1">
      <alignment horizontal="center" vertical="center"/>
    </xf>
    <xf numFmtId="0" fontId="3" fillId="0" borderId="48" xfId="7" applyBorder="1" applyAlignment="1">
      <alignment horizontal="center" vertical="center"/>
    </xf>
    <xf numFmtId="0" fontId="20" fillId="0" borderId="53" xfId="7" applyFont="1" applyBorder="1" applyAlignment="1">
      <alignment horizontal="center" vertical="center"/>
    </xf>
    <xf numFmtId="0" fontId="20" fillId="0" borderId="29" xfId="7" applyFont="1" applyBorder="1" applyAlignment="1">
      <alignment horizontal="center" vertical="center"/>
    </xf>
    <xf numFmtId="0" fontId="20" fillId="0" borderId="47" xfId="7" applyFont="1" applyBorder="1" applyAlignment="1">
      <alignment horizontal="center" vertical="center"/>
    </xf>
    <xf numFmtId="0" fontId="13" fillId="0" borderId="61" xfId="7" applyFont="1" applyBorder="1" applyAlignment="1">
      <alignment horizontal="left" vertical="center"/>
    </xf>
    <xf numFmtId="0" fontId="18" fillId="0" borderId="50" xfId="7" applyFont="1" applyBorder="1" applyAlignment="1">
      <alignment horizontal="left" vertical="center"/>
    </xf>
    <xf numFmtId="0" fontId="13" fillId="0" borderId="44" xfId="7" applyFont="1" applyBorder="1" applyAlignment="1">
      <alignment horizontal="left" vertical="top" wrapText="1"/>
    </xf>
    <xf numFmtId="0" fontId="18" fillId="0" borderId="45" xfId="7" applyFont="1" applyBorder="1" applyAlignment="1">
      <alignment horizontal="left" vertical="top" wrapText="1"/>
    </xf>
    <xf numFmtId="0" fontId="18" fillId="0" borderId="63" xfId="7" applyFont="1" applyBorder="1" applyAlignment="1">
      <alignment horizontal="left" vertical="top" wrapText="1"/>
    </xf>
    <xf numFmtId="0" fontId="18" fillId="0" borderId="53" xfId="7" applyFont="1" applyBorder="1" applyAlignment="1">
      <alignment horizontal="left" vertical="top" wrapText="1"/>
    </xf>
    <xf numFmtId="0" fontId="18" fillId="0" borderId="29" xfId="7" applyFont="1" applyBorder="1" applyAlignment="1">
      <alignment horizontal="left" vertical="top" wrapText="1"/>
    </xf>
    <xf numFmtId="0" fontId="18" fillId="0" borderId="67" xfId="7" applyFont="1" applyBorder="1" applyAlignment="1">
      <alignment horizontal="left" vertical="top" wrapText="1"/>
    </xf>
    <xf numFmtId="173" fontId="13" fillId="0" borderId="8" xfId="7" quotePrefix="1" applyNumberFormat="1" applyFont="1" applyBorder="1" applyAlignment="1">
      <alignment horizontal="left" vertical="center"/>
    </xf>
    <xf numFmtId="173" fontId="13" fillId="0" borderId="40" xfId="7" applyNumberFormat="1" applyFont="1" applyBorder="1" applyAlignment="1">
      <alignment horizontal="left" vertical="center"/>
    </xf>
    <xf numFmtId="173" fontId="13" fillId="0" borderId="8" xfId="7" quotePrefix="1" applyNumberFormat="1" applyFont="1" applyBorder="1" applyAlignment="1">
      <alignment horizontal="left"/>
    </xf>
    <xf numFmtId="173" fontId="13" fillId="0" borderId="41" xfId="7" applyNumberFormat="1" applyFont="1" applyBorder="1" applyAlignment="1">
      <alignment horizontal="left"/>
    </xf>
    <xf numFmtId="0" fontId="13" fillId="0" borderId="8" xfId="7" applyFont="1" applyBorder="1" applyAlignment="1">
      <alignment horizontal="left" wrapText="1"/>
    </xf>
    <xf numFmtId="0" fontId="13" fillId="0" borderId="40" xfId="7" applyFont="1" applyBorder="1" applyAlignment="1">
      <alignment horizontal="left" wrapText="1"/>
    </xf>
    <xf numFmtId="0" fontId="13" fillId="0" borderId="41" xfId="7" applyFont="1" applyBorder="1" applyAlignment="1">
      <alignment horizontal="left" wrapText="1"/>
    </xf>
    <xf numFmtId="0" fontId="13" fillId="0" borderId="8" xfId="7" applyFont="1" applyBorder="1" applyAlignment="1">
      <alignment horizontal="left"/>
    </xf>
    <xf numFmtId="0" fontId="13" fillId="0" borderId="29" xfId="7" applyFont="1" applyBorder="1" applyAlignment="1">
      <alignment horizontal="left"/>
    </xf>
    <xf numFmtId="0" fontId="18" fillId="0" borderId="40" xfId="7" applyFont="1" applyBorder="1"/>
    <xf numFmtId="174" fontId="13" fillId="0" borderId="8" xfId="7" applyNumberFormat="1" applyFont="1" applyBorder="1" applyAlignment="1">
      <alignment horizontal="left"/>
    </xf>
    <xf numFmtId="174" fontId="13" fillId="0" borderId="41" xfId="7" applyNumberFormat="1" applyFont="1" applyBorder="1" applyAlignment="1">
      <alignment horizontal="left"/>
    </xf>
    <xf numFmtId="173" fontId="13" fillId="15" borderId="8" xfId="7" quotePrefix="1" applyNumberFormat="1" applyFont="1" applyFill="1" applyBorder="1" applyAlignment="1">
      <alignment horizontal="left"/>
    </xf>
    <xf numFmtId="173" fontId="13" fillId="15" borderId="41" xfId="7" applyNumberFormat="1" applyFont="1" applyFill="1" applyBorder="1" applyAlignment="1">
      <alignment horizontal="left"/>
    </xf>
    <xf numFmtId="14" fontId="13" fillId="0" borderId="8" xfId="7" applyNumberFormat="1" applyFont="1" applyBorder="1" applyAlignment="1">
      <alignment horizontal="left"/>
    </xf>
    <xf numFmtId="14" fontId="13" fillId="0" borderId="41" xfId="7" applyNumberFormat="1" applyFont="1" applyBorder="1" applyAlignment="1">
      <alignment horizontal="left"/>
    </xf>
    <xf numFmtId="0" fontId="14" fillId="15" borderId="28" xfId="7" applyFont="1" applyFill="1" applyBorder="1" applyAlignment="1">
      <alignment horizontal="center"/>
    </xf>
    <xf numFmtId="0" fontId="3" fillId="15" borderId="47" xfId="7" applyFill="1" applyBorder="1" applyAlignment="1">
      <alignment horizontal="center"/>
    </xf>
    <xf numFmtId="0" fontId="13" fillId="15" borderId="0" xfId="7" applyFont="1" applyFill="1" applyAlignment="1">
      <alignment horizontal="center" vertical="center"/>
    </xf>
    <xf numFmtId="0" fontId="13" fillId="15" borderId="25" xfId="7" applyFont="1" applyFill="1" applyBorder="1" applyAlignment="1">
      <alignment horizontal="center" vertical="center"/>
    </xf>
    <xf numFmtId="173" fontId="18" fillId="12" borderId="8" xfId="7" applyNumberFormat="1" applyFont="1" applyFill="1" applyBorder="1" applyAlignment="1">
      <alignment horizontal="left"/>
    </xf>
    <xf numFmtId="173" fontId="18" fillId="12" borderId="41" xfId="7" applyNumberFormat="1" applyFont="1" applyFill="1" applyBorder="1" applyAlignment="1">
      <alignment horizontal="left"/>
    </xf>
    <xf numFmtId="0" fontId="13" fillId="12" borderId="8" xfId="7" applyFont="1" applyFill="1" applyBorder="1" applyAlignment="1">
      <alignment horizontal="left"/>
    </xf>
    <xf numFmtId="0" fontId="13" fillId="12" borderId="29" xfId="7" applyFont="1" applyFill="1" applyBorder="1" applyAlignment="1">
      <alignment horizontal="left"/>
    </xf>
    <xf numFmtId="0" fontId="18" fillId="12" borderId="40" xfId="7" applyFont="1" applyFill="1" applyBorder="1"/>
    <xf numFmtId="14" fontId="13" fillId="12" borderId="8" xfId="7" applyNumberFormat="1" applyFont="1" applyFill="1" applyBorder="1" applyAlignment="1">
      <alignment horizontal="left"/>
    </xf>
    <xf numFmtId="14" fontId="13" fillId="12" borderId="41" xfId="7" applyNumberFormat="1" applyFont="1" applyFill="1" applyBorder="1" applyAlignment="1">
      <alignment horizontal="left"/>
    </xf>
    <xf numFmtId="169" fontId="13" fillId="12" borderId="11" xfId="7" applyNumberFormat="1" applyFont="1" applyFill="1" applyBorder="1" applyAlignment="1">
      <alignment horizontal="center" vertical="center"/>
    </xf>
    <xf numFmtId="169" fontId="13" fillId="12" borderId="43" xfId="7" applyNumberFormat="1" applyFont="1" applyFill="1" applyBorder="1" applyAlignment="1">
      <alignment horizontal="center" vertical="center"/>
    </xf>
    <xf numFmtId="0" fontId="14" fillId="0" borderId="1" xfId="7" applyFont="1" applyBorder="1" applyAlignment="1">
      <alignment horizontal="left" vertical="center"/>
    </xf>
    <xf numFmtId="0" fontId="3" fillId="0" borderId="2" xfId="7" applyBorder="1" applyAlignment="1">
      <alignment horizontal="left" vertical="center"/>
    </xf>
    <xf numFmtId="0" fontId="3" fillId="0" borderId="48" xfId="7" applyBorder="1" applyAlignment="1">
      <alignment horizontal="left" vertical="center"/>
    </xf>
    <xf numFmtId="0" fontId="14" fillId="0" borderId="60" xfId="7" applyFont="1" applyBorder="1" applyAlignment="1">
      <alignment horizontal="center" vertical="center" wrapText="1"/>
    </xf>
    <xf numFmtId="0" fontId="14" fillId="0" borderId="2" xfId="7" applyFont="1" applyBorder="1" applyAlignment="1">
      <alignment horizontal="center" vertical="center" wrapText="1"/>
    </xf>
    <xf numFmtId="0" fontId="14" fillId="0" borderId="48" xfId="7" applyFont="1" applyBorder="1" applyAlignment="1">
      <alignment horizontal="center" vertical="center" wrapText="1"/>
    </xf>
    <xf numFmtId="0" fontId="14" fillId="0" borderId="52" xfId="7" applyFont="1" applyBorder="1" applyAlignment="1">
      <alignment horizontal="center" vertical="center" wrapText="1"/>
    </xf>
    <xf numFmtId="0" fontId="14" fillId="0" borderId="0" xfId="7" applyFont="1" applyAlignment="1">
      <alignment horizontal="center" vertical="center" wrapText="1"/>
    </xf>
    <xf numFmtId="0" fontId="14" fillId="0" borderId="54" xfId="7" applyFont="1" applyBorder="1" applyAlignment="1">
      <alignment horizontal="center" vertical="center" wrapText="1"/>
    </xf>
    <xf numFmtId="0" fontId="14" fillId="0" borderId="3" xfId="7" applyFont="1" applyBorder="1" applyAlignment="1">
      <alignment horizontal="center" vertical="center" wrapText="1"/>
    </xf>
    <xf numFmtId="0" fontId="14" fillId="0" borderId="17" xfId="7" applyFont="1" applyBorder="1" applyAlignment="1">
      <alignment horizontal="center" vertical="center" wrapText="1"/>
    </xf>
    <xf numFmtId="0" fontId="12" fillId="0" borderId="73" xfId="7" applyFont="1" applyBorder="1" applyAlignment="1">
      <alignment horizontal="left" vertical="center"/>
    </xf>
    <xf numFmtId="0" fontId="3" fillId="0" borderId="45" xfId="7" applyBorder="1" applyAlignment="1">
      <alignment horizontal="left" vertical="center"/>
    </xf>
    <xf numFmtId="0" fontId="3" fillId="0" borderId="28" xfId="7" applyBorder="1" applyAlignment="1">
      <alignment horizontal="left" vertical="center"/>
    </xf>
    <xf numFmtId="0" fontId="3" fillId="0" borderId="29" xfId="7" applyBorder="1" applyAlignment="1">
      <alignment horizontal="left" vertical="center"/>
    </xf>
    <xf numFmtId="0" fontId="22" fillId="0" borderId="45" xfId="7" applyFont="1" applyBorder="1" applyAlignment="1">
      <alignment horizontal="left" vertical="center"/>
    </xf>
    <xf numFmtId="0" fontId="3" fillId="0" borderId="46" xfId="7" applyBorder="1" applyAlignment="1">
      <alignment horizontal="left" vertical="center"/>
    </xf>
    <xf numFmtId="0" fontId="3" fillId="0" borderId="47" xfId="7" applyBorder="1" applyAlignment="1">
      <alignment horizontal="left" vertical="center"/>
    </xf>
    <xf numFmtId="0" fontId="12" fillId="0" borderId="44" xfId="7" applyFont="1" applyBorder="1" applyAlignment="1">
      <alignment horizontal="right" vertical="center" wrapText="1"/>
    </xf>
    <xf numFmtId="0" fontId="12" fillId="0" borderId="45" xfId="7" applyFont="1" applyBorder="1" applyAlignment="1">
      <alignment horizontal="right" vertical="center" wrapText="1"/>
    </xf>
    <xf numFmtId="0" fontId="12" fillId="0" borderId="53" xfId="7" applyFont="1" applyBorder="1" applyAlignment="1">
      <alignment horizontal="right" vertical="center" wrapText="1"/>
    </xf>
    <xf numFmtId="0" fontId="12" fillId="0" borderId="29" xfId="7" applyFont="1" applyBorder="1" applyAlignment="1">
      <alignment horizontal="right" vertical="center" wrapText="1"/>
    </xf>
    <xf numFmtId="0" fontId="12" fillId="0" borderId="28" xfId="7" applyFont="1" applyBorder="1" applyAlignment="1">
      <alignment horizontal="right" vertical="center"/>
    </xf>
    <xf numFmtId="0" fontId="12" fillId="0" borderId="29" xfId="7" applyFont="1" applyBorder="1" applyAlignment="1">
      <alignment horizontal="right" vertical="center"/>
    </xf>
    <xf numFmtId="0" fontId="14" fillId="0" borderId="29" xfId="7" applyFont="1" applyBorder="1" applyAlignment="1">
      <alignment horizontal="left" vertical="center"/>
    </xf>
    <xf numFmtId="0" fontId="12" fillId="0" borderId="44" xfId="7" applyFont="1" applyBorder="1" applyAlignment="1">
      <alignment horizontal="center" vertical="center" wrapText="1"/>
    </xf>
    <xf numFmtId="0" fontId="12" fillId="0" borderId="45" xfId="7" applyFont="1" applyBorder="1" applyAlignment="1">
      <alignment horizontal="center" vertical="center" wrapText="1"/>
    </xf>
    <xf numFmtId="0" fontId="12" fillId="0" borderId="63" xfId="7" applyFont="1" applyBorder="1" applyAlignment="1">
      <alignment horizontal="center" vertical="center" wrapText="1"/>
    </xf>
    <xf numFmtId="0" fontId="12" fillId="0" borderId="53" xfId="7" applyFont="1" applyBorder="1" applyAlignment="1">
      <alignment horizontal="center" vertical="center" wrapText="1"/>
    </xf>
    <xf numFmtId="0" fontId="12" fillId="0" borderId="29" xfId="7" applyFont="1" applyBorder="1" applyAlignment="1">
      <alignment horizontal="center" vertical="center" wrapText="1"/>
    </xf>
    <xf numFmtId="0" fontId="12" fillId="0" borderId="67" xfId="7" applyFont="1" applyBorder="1" applyAlignment="1">
      <alignment horizontal="center" vertical="center" wrapText="1"/>
    </xf>
    <xf numFmtId="0" fontId="14" fillId="0" borderId="13" xfId="7" applyFont="1" applyBorder="1" applyAlignment="1">
      <alignment horizontal="center" vertical="center"/>
    </xf>
    <xf numFmtId="0" fontId="4" fillId="0" borderId="61" xfId="7" applyFont="1" applyBorder="1" applyAlignment="1">
      <alignment horizontal="center" vertical="center"/>
    </xf>
    <xf numFmtId="0" fontId="4" fillId="0" borderId="50" xfId="7" applyFont="1" applyBorder="1" applyAlignment="1">
      <alignment horizontal="center" vertical="center"/>
    </xf>
    <xf numFmtId="0" fontId="14" fillId="0" borderId="0" xfId="7" applyFont="1" applyAlignment="1">
      <alignment horizontal="center" vertical="center"/>
    </xf>
    <xf numFmtId="0" fontId="14" fillId="0" borderId="54" xfId="7" applyFont="1" applyBorder="1" applyAlignment="1">
      <alignment horizontal="center" vertical="center"/>
    </xf>
    <xf numFmtId="0" fontId="3" fillId="0" borderId="0" xfId="7" applyAlignment="1">
      <alignment horizontal="center" vertical="center"/>
    </xf>
    <xf numFmtId="0" fontId="3" fillId="0" borderId="54" xfId="7" applyBorder="1" applyAlignment="1">
      <alignment horizontal="center" vertical="center"/>
    </xf>
    <xf numFmtId="0" fontId="3" fillId="0" borderId="29" xfId="7" applyBorder="1" applyAlignment="1">
      <alignment horizontal="center" vertical="center"/>
    </xf>
    <xf numFmtId="0" fontId="3" fillId="0" borderId="47" xfId="7" applyBorder="1" applyAlignment="1">
      <alignment horizontal="center" vertical="center"/>
    </xf>
    <xf numFmtId="0" fontId="14" fillId="0" borderId="55" xfId="7" applyFont="1" applyBorder="1" applyAlignment="1">
      <alignment horizontal="center" vertical="center" wrapText="1"/>
    </xf>
    <xf numFmtId="0" fontId="14" fillId="0" borderId="51" xfId="7" applyFont="1" applyBorder="1" applyAlignment="1">
      <alignment horizontal="center" vertical="center" wrapText="1"/>
    </xf>
    <xf numFmtId="0" fontId="12" fillId="0" borderId="55" xfId="7" applyFont="1" applyBorder="1" applyAlignment="1">
      <alignment horizontal="center" wrapText="1"/>
    </xf>
    <xf numFmtId="0" fontId="12" fillId="0" borderId="51" xfId="7" applyFont="1" applyBorder="1" applyAlignment="1">
      <alignment horizontal="center" wrapText="1"/>
    </xf>
    <xf numFmtId="0" fontId="12" fillId="0" borderId="52" xfId="7" applyFont="1" applyBorder="1" applyAlignment="1">
      <alignment horizontal="center" wrapText="1"/>
    </xf>
    <xf numFmtId="0" fontId="3" fillId="0" borderId="54" xfId="7" applyBorder="1" applyAlignment="1">
      <alignment horizontal="center" wrapText="1"/>
    </xf>
    <xf numFmtId="0" fontId="3" fillId="0" borderId="52" xfId="7" applyBorder="1" applyAlignment="1">
      <alignment horizontal="center" wrapText="1"/>
    </xf>
    <xf numFmtId="0" fontId="3" fillId="0" borderId="53" xfId="7" applyBorder="1" applyAlignment="1">
      <alignment horizontal="center" wrapText="1"/>
    </xf>
    <xf numFmtId="0" fontId="3" fillId="0" borderId="47" xfId="7" applyBorder="1" applyAlignment="1">
      <alignment horizontal="center" wrapText="1"/>
    </xf>
    <xf numFmtId="0" fontId="3" fillId="0" borderId="55" xfId="7" applyBorder="1" applyAlignment="1">
      <alignment horizontal="center" wrapText="1"/>
    </xf>
    <xf numFmtId="0" fontId="3" fillId="0" borderId="51" xfId="7" applyBorder="1" applyAlignment="1">
      <alignment horizontal="center" wrapText="1"/>
    </xf>
    <xf numFmtId="0" fontId="22" fillId="2" borderId="0" xfId="7" applyFont="1" applyFill="1" applyAlignment="1">
      <alignment horizontal="left"/>
    </xf>
    <xf numFmtId="0" fontId="22" fillId="2" borderId="54" xfId="7" applyFont="1" applyFill="1" applyBorder="1" applyAlignment="1">
      <alignment horizontal="left"/>
    </xf>
    <xf numFmtId="0" fontId="15" fillId="12" borderId="8" xfId="7" applyFont="1" applyFill="1" applyBorder="1" applyAlignment="1">
      <alignment horizontal="center"/>
    </xf>
    <xf numFmtId="0" fontId="15" fillId="12" borderId="42" xfId="7" applyFont="1" applyFill="1" applyBorder="1" applyAlignment="1">
      <alignment horizontal="center"/>
    </xf>
    <xf numFmtId="0" fontId="12" fillId="0" borderId="36" xfId="7" applyFont="1" applyBorder="1" applyAlignment="1">
      <alignment horizontal="center"/>
    </xf>
    <xf numFmtId="0" fontId="12" fillId="0" borderId="37" xfId="7" applyFont="1" applyBorder="1" applyAlignment="1">
      <alignment horizontal="center"/>
    </xf>
    <xf numFmtId="0" fontId="12" fillId="0" borderId="38" xfId="7" applyFont="1" applyBorder="1" applyAlignment="1">
      <alignment horizontal="center"/>
    </xf>
    <xf numFmtId="0" fontId="12" fillId="0" borderId="33" xfId="7" applyFont="1" applyBorder="1" applyAlignment="1">
      <alignment horizontal="left"/>
    </xf>
    <xf numFmtId="0" fontId="12" fillId="0" borderId="0" xfId="7" applyFont="1" applyAlignment="1">
      <alignment horizontal="left"/>
    </xf>
    <xf numFmtId="0" fontId="12" fillId="0" borderId="17" xfId="7" applyFont="1" applyBorder="1" applyAlignment="1">
      <alignment horizontal="left"/>
    </xf>
    <xf numFmtId="0" fontId="12" fillId="0" borderId="52" xfId="7" applyFont="1" applyBorder="1" applyAlignment="1">
      <alignment horizontal="center"/>
    </xf>
    <xf numFmtId="0" fontId="12" fillId="0" borderId="0" xfId="7" applyFont="1" applyAlignment="1">
      <alignment horizontal="center"/>
    </xf>
    <xf numFmtId="0" fontId="12" fillId="0" borderId="17" xfId="7" applyFont="1" applyBorder="1" applyAlignment="1">
      <alignment horizontal="center"/>
    </xf>
    <xf numFmtId="0" fontId="15" fillId="16" borderId="52" xfId="7" applyFont="1" applyFill="1" applyBorder="1" applyAlignment="1">
      <alignment horizontal="center"/>
    </xf>
    <xf numFmtId="0" fontId="15" fillId="16" borderId="0" xfId="7" applyFont="1" applyFill="1" applyAlignment="1">
      <alignment horizontal="center"/>
    </xf>
    <xf numFmtId="0" fontId="15" fillId="16" borderId="17" xfId="7" applyFont="1" applyFill="1" applyBorder="1" applyAlignment="1">
      <alignment horizontal="center"/>
    </xf>
    <xf numFmtId="0" fontId="3" fillId="0" borderId="33" xfId="7" applyBorder="1" applyAlignment="1">
      <alignment horizontal="left" vertical="center"/>
    </xf>
    <xf numFmtId="0" fontId="3" fillId="0" borderId="0" xfId="7" applyAlignment="1">
      <alignment horizontal="left" vertical="center"/>
    </xf>
    <xf numFmtId="0" fontId="3" fillId="0" borderId="34" xfId="7" applyBorder="1" applyAlignment="1">
      <alignment horizontal="left" vertical="center"/>
    </xf>
    <xf numFmtId="0" fontId="3" fillId="0" borderId="25" xfId="7" applyBorder="1" applyAlignment="1">
      <alignment horizontal="left" vertical="center"/>
    </xf>
    <xf numFmtId="0" fontId="22" fillId="0" borderId="45" xfId="7" applyFont="1" applyBorder="1" applyAlignment="1">
      <alignment horizontal="left" vertical="center" wrapText="1"/>
    </xf>
    <xf numFmtId="0" fontId="3" fillId="0" borderId="45" xfId="7" applyBorder="1" applyAlignment="1">
      <alignment horizontal="left" vertical="center" wrapText="1"/>
    </xf>
    <xf numFmtId="0" fontId="3" fillId="0" borderId="46" xfId="7" applyBorder="1" applyAlignment="1">
      <alignment horizontal="left" vertical="center" wrapText="1"/>
    </xf>
    <xf numFmtId="0" fontId="3" fillId="0" borderId="0" xfId="7" applyAlignment="1">
      <alignment horizontal="left" vertical="center" wrapText="1"/>
    </xf>
    <xf numFmtId="0" fontId="3" fillId="0" borderId="54" xfId="7" applyBorder="1" applyAlignment="1">
      <alignment horizontal="left" vertical="center" wrapText="1"/>
    </xf>
    <xf numFmtId="0" fontId="3" fillId="0" borderId="25" xfId="7" applyBorder="1" applyAlignment="1">
      <alignment horizontal="left" vertical="center" wrapText="1"/>
    </xf>
    <xf numFmtId="0" fontId="3" fillId="0" borderId="66" xfId="7" applyBorder="1" applyAlignment="1">
      <alignment horizontal="left" vertical="center" wrapText="1"/>
    </xf>
    <xf numFmtId="0" fontId="12" fillId="0" borderId="44" xfId="7" applyFont="1" applyBorder="1" applyAlignment="1">
      <alignment horizontal="center" vertical="center"/>
    </xf>
    <xf numFmtId="0" fontId="12" fillId="0" borderId="53" xfId="7" applyFont="1" applyBorder="1" applyAlignment="1">
      <alignment horizontal="center" vertical="center"/>
    </xf>
    <xf numFmtId="37" fontId="22" fillId="0" borderId="45" xfId="7" applyNumberFormat="1" applyFont="1" applyBorder="1" applyAlignment="1">
      <alignment horizontal="center" vertical="center" shrinkToFit="1"/>
    </xf>
    <xf numFmtId="37" fontId="22" fillId="0" borderId="46" xfId="7" applyNumberFormat="1" applyFont="1" applyBorder="1" applyAlignment="1">
      <alignment horizontal="center" vertical="center" shrinkToFit="1"/>
    </xf>
    <xf numFmtId="37" fontId="22" fillId="0" borderId="29" xfId="7" applyNumberFormat="1" applyFont="1" applyBorder="1" applyAlignment="1">
      <alignment horizontal="center" vertical="center" shrinkToFit="1"/>
    </xf>
    <xf numFmtId="37" fontId="22" fillId="0" borderId="47" xfId="7" applyNumberFormat="1" applyFont="1" applyBorder="1" applyAlignment="1">
      <alignment horizontal="center" vertical="center" shrinkToFit="1"/>
    </xf>
    <xf numFmtId="0" fontId="12" fillId="0" borderId="65" xfId="7" applyFont="1" applyBorder="1" applyAlignment="1">
      <alignment horizontal="center" vertical="center"/>
    </xf>
    <xf numFmtId="1" fontId="15" fillId="0" borderId="57" xfId="7" applyNumberFormat="1" applyFont="1" applyBorder="1" applyAlignment="1">
      <alignment horizontal="center" vertical="center"/>
    </xf>
    <xf numFmtId="1" fontId="15" fillId="0" borderId="80" xfId="7" applyNumberFormat="1" applyFont="1" applyBorder="1" applyAlignment="1">
      <alignment horizontal="center" vertical="center"/>
    </xf>
    <xf numFmtId="0" fontId="12" fillId="0" borderId="54" xfId="7" applyFont="1" applyBorder="1" applyAlignment="1">
      <alignment horizontal="left"/>
    </xf>
    <xf numFmtId="0" fontId="12" fillId="0" borderId="44" xfId="7" applyFont="1" applyBorder="1" applyAlignment="1">
      <alignment horizontal="center"/>
    </xf>
    <xf numFmtId="0" fontId="12" fillId="0" borderId="46" xfId="7" applyFont="1" applyBorder="1" applyAlignment="1">
      <alignment horizontal="center"/>
    </xf>
    <xf numFmtId="16" fontId="12" fillId="0" borderId="0" xfId="7" quotePrefix="1" applyNumberFormat="1" applyFont="1" applyAlignment="1">
      <alignment horizontal="center"/>
    </xf>
    <xf numFmtId="0" fontId="12" fillId="0" borderId="45" xfId="7" applyFont="1" applyBorder="1" applyAlignment="1">
      <alignment horizontal="center"/>
    </xf>
    <xf numFmtId="0" fontId="12" fillId="0" borderId="63" xfId="7" applyFont="1" applyBorder="1" applyAlignment="1">
      <alignment horizontal="center"/>
    </xf>
    <xf numFmtId="188" fontId="15" fillId="16" borderId="52" xfId="7" applyNumberFormat="1" applyFont="1" applyFill="1" applyBorder="1" applyAlignment="1">
      <alignment horizontal="center" vertical="center"/>
    </xf>
    <xf numFmtId="188" fontId="15" fillId="16" borderId="54" xfId="7" applyNumberFormat="1" applyFont="1" applyFill="1" applyBorder="1" applyAlignment="1">
      <alignment horizontal="center" vertical="center"/>
    </xf>
    <xf numFmtId="188" fontId="15" fillId="16" borderId="65" xfId="7" applyNumberFormat="1" applyFont="1" applyFill="1" applyBorder="1" applyAlignment="1">
      <alignment horizontal="center" vertical="center"/>
    </xf>
    <xf numFmtId="188" fontId="15" fillId="16" borderId="66" xfId="7" applyNumberFormat="1" applyFont="1" applyFill="1" applyBorder="1" applyAlignment="1">
      <alignment horizontal="center" vertical="center"/>
    </xf>
    <xf numFmtId="0" fontId="15" fillId="16" borderId="52" xfId="7" applyFont="1" applyFill="1" applyBorder="1" applyAlignment="1">
      <alignment horizontal="center" vertical="center"/>
    </xf>
    <xf numFmtId="0" fontId="3" fillId="16" borderId="0" xfId="7" applyFill="1" applyAlignment="1">
      <alignment horizontal="center" vertical="center"/>
    </xf>
    <xf numFmtId="0" fontId="3" fillId="16" borderId="17" xfId="7" applyFill="1" applyBorder="1" applyAlignment="1">
      <alignment horizontal="center" vertical="center"/>
    </xf>
    <xf numFmtId="0" fontId="3" fillId="16" borderId="65" xfId="7" applyFill="1" applyBorder="1" applyAlignment="1">
      <alignment horizontal="center" vertical="center"/>
    </xf>
    <xf numFmtId="0" fontId="3" fillId="16" borderId="25" xfId="7" applyFill="1" applyBorder="1" applyAlignment="1">
      <alignment horizontal="center" vertical="center"/>
    </xf>
    <xf numFmtId="0" fontId="3" fillId="16" borderId="35" xfId="7" applyFill="1" applyBorder="1" applyAlignment="1">
      <alignment horizontal="center" vertical="center"/>
    </xf>
    <xf numFmtId="169" fontId="12" fillId="0" borderId="52" xfId="7" applyNumberFormat="1" applyFont="1" applyBorder="1" applyAlignment="1">
      <alignment horizontal="right"/>
    </xf>
    <xf numFmtId="169" fontId="12" fillId="0" borderId="54" xfId="7" applyNumberFormat="1" applyFont="1" applyBorder="1" applyAlignment="1">
      <alignment horizontal="right"/>
    </xf>
    <xf numFmtId="0" fontId="12" fillId="0" borderId="33" xfId="7" applyFont="1" applyBorder="1" applyAlignment="1">
      <alignment horizontal="center"/>
    </xf>
    <xf numFmtId="0" fontId="12" fillId="0" borderId="34" xfId="7" applyFont="1" applyBorder="1" applyAlignment="1">
      <alignment horizontal="center"/>
    </xf>
    <xf numFmtId="0" fontId="12" fillId="0" borderId="25" xfId="7" applyFont="1" applyBorder="1" applyAlignment="1">
      <alignment horizontal="center"/>
    </xf>
    <xf numFmtId="16" fontId="12" fillId="0" borderId="0" xfId="7" applyNumberFormat="1" applyFont="1" applyAlignment="1">
      <alignment horizontal="center"/>
    </xf>
    <xf numFmtId="0" fontId="12" fillId="0" borderId="73" xfId="7" applyFont="1" applyBorder="1" applyAlignment="1">
      <alignment horizontal="right"/>
    </xf>
    <xf numFmtId="0" fontId="12" fillId="0" borderId="45" xfId="7" applyFont="1" applyBorder="1" applyAlignment="1">
      <alignment horizontal="right"/>
    </xf>
    <xf numFmtId="0" fontId="12" fillId="0" borderId="63" xfId="7" applyFont="1" applyBorder="1" applyAlignment="1">
      <alignment horizontal="right"/>
    </xf>
    <xf numFmtId="0" fontId="14" fillId="0" borderId="2" xfId="7" applyFont="1" applyBorder="1" applyAlignment="1">
      <alignment horizontal="left" vertical="center"/>
    </xf>
    <xf numFmtId="0" fontId="14" fillId="0" borderId="3" xfId="7" applyFont="1" applyBorder="1" applyAlignment="1">
      <alignment horizontal="left" vertical="center"/>
    </xf>
    <xf numFmtId="0" fontId="14" fillId="0" borderId="33" xfId="7" applyFont="1" applyBorder="1" applyAlignment="1">
      <alignment horizontal="left" vertical="center"/>
    </xf>
    <xf numFmtId="0" fontId="14" fillId="0" borderId="0" xfId="7" applyFont="1" applyAlignment="1">
      <alignment horizontal="left" vertical="center"/>
    </xf>
    <xf numFmtId="0" fontId="14" fillId="0" borderId="17" xfId="7" applyFont="1" applyBorder="1" applyAlignment="1">
      <alignment horizontal="left" vertical="center"/>
    </xf>
    <xf numFmtId="0" fontId="14" fillId="0" borderId="73" xfId="7" applyFont="1" applyBorder="1" applyAlignment="1">
      <alignment horizontal="left" vertical="center" wrapText="1"/>
    </xf>
    <xf numFmtId="0" fontId="12" fillId="0" borderId="45" xfId="7" applyFont="1" applyBorder="1" applyAlignment="1">
      <alignment horizontal="left" vertical="center" wrapText="1"/>
    </xf>
    <xf numFmtId="0" fontId="12" fillId="0" borderId="63" xfId="7" applyFont="1" applyBorder="1" applyAlignment="1">
      <alignment horizontal="left" vertical="center" wrapText="1"/>
    </xf>
    <xf numFmtId="0" fontId="12" fillId="0" borderId="28" xfId="7" applyFont="1" applyBorder="1" applyAlignment="1">
      <alignment horizontal="left" vertical="center" wrapText="1"/>
    </xf>
    <xf numFmtId="0" fontId="12" fillId="0" borderId="29" xfId="7" applyFont="1" applyBorder="1" applyAlignment="1">
      <alignment horizontal="left" vertical="center" wrapText="1"/>
    </xf>
    <xf numFmtId="0" fontId="12" fillId="0" borderId="67" xfId="7" applyFont="1" applyBorder="1" applyAlignment="1">
      <alignment horizontal="left" vertical="center" wrapText="1"/>
    </xf>
    <xf numFmtId="0" fontId="14" fillId="0" borderId="33" xfId="7" applyFont="1" applyBorder="1" applyAlignment="1">
      <alignment horizontal="left"/>
    </xf>
    <xf numFmtId="0" fontId="14" fillId="0" borderId="0" xfId="7" applyFont="1" applyAlignment="1">
      <alignment horizontal="left"/>
    </xf>
    <xf numFmtId="0" fontId="14" fillId="0" borderId="17" xfId="7" applyFont="1" applyBorder="1" applyAlignment="1">
      <alignment horizontal="left"/>
    </xf>
    <xf numFmtId="0" fontId="14" fillId="0" borderId="73" xfId="7" applyFont="1" applyBorder="1" applyAlignment="1">
      <alignment horizontal="left" wrapText="1"/>
    </xf>
    <xf numFmtId="0" fontId="12" fillId="0" borderId="45" xfId="7" applyFont="1" applyBorder="1" applyAlignment="1">
      <alignment horizontal="left" wrapText="1"/>
    </xf>
    <xf numFmtId="0" fontId="12" fillId="0" borderId="63" xfId="7" applyFont="1" applyBorder="1" applyAlignment="1">
      <alignment horizontal="left" wrapText="1"/>
    </xf>
    <xf numFmtId="0" fontId="12" fillId="0" borderId="28" xfId="7" applyFont="1" applyBorder="1" applyAlignment="1">
      <alignment horizontal="left" wrapText="1"/>
    </xf>
    <xf numFmtId="0" fontId="12" fillId="0" borderId="29" xfId="7" applyFont="1" applyBorder="1" applyAlignment="1">
      <alignment horizontal="left" wrapText="1"/>
    </xf>
    <xf numFmtId="0" fontId="12" fillId="0" borderId="67" xfId="7" applyFont="1" applyBorder="1" applyAlignment="1">
      <alignment horizontal="left" wrapText="1"/>
    </xf>
    <xf numFmtId="0" fontId="14" fillId="0" borderId="45" xfId="7" applyFont="1" applyBorder="1" applyAlignment="1">
      <alignment horizontal="left" wrapText="1"/>
    </xf>
    <xf numFmtId="0" fontId="14" fillId="0" borderId="63" xfId="7" applyFont="1" applyBorder="1" applyAlignment="1">
      <alignment horizontal="left" wrapText="1"/>
    </xf>
    <xf numFmtId="0" fontId="14" fillId="0" borderId="28" xfId="7" applyFont="1" applyBorder="1" applyAlignment="1">
      <alignment horizontal="left" wrapText="1"/>
    </xf>
    <xf numFmtId="0" fontId="14" fillId="0" borderId="29" xfId="7" applyFont="1" applyBorder="1" applyAlignment="1">
      <alignment horizontal="left" wrapText="1"/>
    </xf>
    <xf numFmtId="0" fontId="14" fillId="0" borderId="67" xfId="7" applyFont="1" applyBorder="1" applyAlignment="1">
      <alignment horizontal="left" wrapText="1"/>
    </xf>
    <xf numFmtId="0" fontId="12" fillId="0" borderId="0" xfId="7" applyFont="1"/>
    <xf numFmtId="0" fontId="3" fillId="0" borderId="0" xfId="7"/>
    <xf numFmtId="0" fontId="3" fillId="0" borderId="54" xfId="7" applyBorder="1"/>
    <xf numFmtId="0" fontId="14" fillId="0" borderId="33" xfId="7" applyFont="1" applyBorder="1" applyAlignment="1">
      <alignment horizontal="left" wrapText="1"/>
    </xf>
    <xf numFmtId="0" fontId="14" fillId="0" borderId="0" xfId="7" applyFont="1" applyAlignment="1">
      <alignment horizontal="left" wrapText="1"/>
    </xf>
    <xf numFmtId="169" fontId="12" fillId="4" borderId="52" xfId="7" applyNumberFormat="1" applyFont="1" applyFill="1" applyBorder="1" applyAlignment="1">
      <alignment horizontal="right"/>
    </xf>
    <xf numFmtId="169" fontId="12" fillId="4" borderId="54" xfId="7" applyNumberFormat="1" applyFont="1" applyFill="1" applyBorder="1" applyAlignment="1">
      <alignment horizontal="right"/>
    </xf>
    <xf numFmtId="169" fontId="12" fillId="8" borderId="52" xfId="7" applyNumberFormat="1" applyFont="1" applyFill="1" applyBorder="1" applyAlignment="1">
      <alignment horizontal="right"/>
    </xf>
    <xf numFmtId="169" fontId="12" fillId="8" borderId="54" xfId="7" applyNumberFormat="1" applyFont="1" applyFill="1" applyBorder="1" applyAlignment="1">
      <alignment horizontal="right"/>
    </xf>
    <xf numFmtId="169" fontId="15" fillId="0" borderId="57" xfId="7" applyNumberFormat="1" applyFont="1" applyBorder="1" applyAlignment="1">
      <alignment horizontal="right" vertical="center"/>
    </xf>
    <xf numFmtId="169" fontId="15" fillId="0" borderId="51" xfId="7" applyNumberFormat="1" applyFont="1" applyBorder="1" applyAlignment="1">
      <alignment horizontal="right" vertical="center"/>
    </xf>
    <xf numFmtId="0" fontId="12" fillId="0" borderId="33" xfId="7" applyFont="1" applyBorder="1" applyAlignment="1">
      <alignment horizontal="left" vertical="center" wrapText="1"/>
    </xf>
    <xf numFmtId="0" fontId="3" fillId="0" borderId="33" xfId="7" applyBorder="1"/>
    <xf numFmtId="177" fontId="12" fillId="0" borderId="57" xfId="7" applyNumberFormat="1" applyFont="1" applyBorder="1" applyAlignment="1">
      <alignment horizontal="right" vertical="center"/>
    </xf>
    <xf numFmtId="177" fontId="3" fillId="0" borderId="51" xfId="7" applyNumberFormat="1" applyBorder="1" applyAlignment="1">
      <alignment horizontal="right" vertical="center"/>
    </xf>
    <xf numFmtId="169" fontId="8" fillId="0" borderId="44" xfId="7" applyNumberFormat="1" applyFont="1" applyBorder="1" applyAlignment="1">
      <alignment horizontal="center" vertical="center"/>
    </xf>
    <xf numFmtId="169" fontId="8" fillId="0" borderId="46" xfId="7" applyNumberFormat="1" applyFont="1" applyBorder="1" applyAlignment="1">
      <alignment horizontal="center" vertical="center"/>
    </xf>
    <xf numFmtId="169" fontId="8" fillId="0" borderId="53" xfId="7" applyNumberFormat="1" applyFont="1" applyBorder="1" applyAlignment="1">
      <alignment horizontal="center" vertical="center"/>
    </xf>
    <xf numFmtId="169" fontId="8" fillId="0" borderId="47" xfId="7" applyNumberFormat="1" applyFont="1" applyBorder="1" applyAlignment="1">
      <alignment horizontal="center" vertical="center"/>
    </xf>
    <xf numFmtId="0" fontId="12" fillId="0" borderId="29" xfId="7" applyFont="1" applyBorder="1" applyAlignment="1">
      <alignment horizontal="left"/>
    </xf>
    <xf numFmtId="0" fontId="12" fillId="0" borderId="47" xfId="7" applyFont="1" applyBorder="1" applyAlignment="1">
      <alignment horizontal="left"/>
    </xf>
    <xf numFmtId="169" fontId="12" fillId="0" borderId="53" xfId="7" applyNumberFormat="1" applyFont="1" applyBorder="1" applyAlignment="1">
      <alignment horizontal="right"/>
    </xf>
    <xf numFmtId="169" fontId="12" fillId="0" borderId="47" xfId="7" applyNumberFormat="1" applyFont="1" applyBorder="1" applyAlignment="1">
      <alignment horizontal="right"/>
    </xf>
    <xf numFmtId="0" fontId="3" fillId="0" borderId="34" xfId="7" applyBorder="1"/>
    <xf numFmtId="0" fontId="3" fillId="0" borderId="25" xfId="7" applyBorder="1"/>
    <xf numFmtId="0" fontId="3" fillId="0" borderId="66" xfId="7" applyBorder="1"/>
    <xf numFmtId="169" fontId="15" fillId="8" borderId="79" xfId="7" applyNumberFormat="1" applyFont="1" applyFill="1" applyBorder="1" applyAlignment="1">
      <alignment horizontal="right" vertical="center" wrapText="1"/>
    </xf>
    <xf numFmtId="169" fontId="15" fillId="8" borderId="80" xfId="7" applyNumberFormat="1" applyFont="1" applyFill="1" applyBorder="1" applyAlignment="1">
      <alignment horizontal="right" vertical="center" wrapText="1"/>
    </xf>
    <xf numFmtId="169" fontId="15" fillId="0" borderId="74" xfId="7" applyNumberFormat="1" applyFont="1" applyBorder="1" applyAlignment="1">
      <alignment horizontal="right" vertical="center"/>
    </xf>
    <xf numFmtId="0" fontId="3" fillId="0" borderId="75" xfId="7" applyBorder="1"/>
    <xf numFmtId="169" fontId="23" fillId="0" borderId="76" xfId="7" applyNumberFormat="1" applyFont="1" applyBorder="1" applyAlignment="1">
      <alignment horizontal="right" vertical="center" wrapText="1"/>
    </xf>
    <xf numFmtId="169" fontId="23" fillId="0" borderId="78" xfId="7" applyNumberFormat="1" applyFont="1" applyBorder="1" applyAlignment="1">
      <alignment horizontal="right" vertical="center" wrapText="1"/>
    </xf>
    <xf numFmtId="0" fontId="12" fillId="0" borderId="8" xfId="12" applyFont="1" applyBorder="1" applyAlignment="1">
      <alignment horizontal="left" vertical="center" wrapText="1"/>
    </xf>
    <xf numFmtId="0" fontId="12" fillId="0" borderId="40" xfId="12" applyFont="1" applyBorder="1" applyAlignment="1">
      <alignment horizontal="left" vertical="center" wrapText="1"/>
    </xf>
    <xf numFmtId="0" fontId="12" fillId="0" borderId="42" xfId="12" applyFont="1" applyBorder="1" applyAlignment="1">
      <alignment horizontal="left" vertical="center" wrapText="1"/>
    </xf>
    <xf numFmtId="37" fontId="4" fillId="0" borderId="40" xfId="7" applyNumberFormat="1" applyFont="1" applyBorder="1" applyAlignment="1">
      <alignment horizontal="left" vertical="center" wrapText="1"/>
    </xf>
    <xf numFmtId="0" fontId="4" fillId="0" borderId="40" xfId="7" applyFont="1" applyBorder="1" applyAlignment="1">
      <alignment horizontal="left" vertical="center" wrapText="1"/>
    </xf>
    <xf numFmtId="0" fontId="4" fillId="0" borderId="40" xfId="7" applyFont="1" applyBorder="1" applyAlignment="1">
      <alignment horizontal="left" wrapText="1"/>
    </xf>
    <xf numFmtId="1" fontId="4" fillId="0" borderId="40" xfId="7" applyNumberFormat="1" applyFont="1" applyBorder="1" applyAlignment="1">
      <alignment horizontal="left" vertical="center" wrapText="1"/>
    </xf>
    <xf numFmtId="0" fontId="4" fillId="0" borderId="42" xfId="7" applyFont="1" applyBorder="1" applyAlignment="1">
      <alignment horizontal="left" vertical="center" wrapText="1"/>
    </xf>
    <xf numFmtId="0" fontId="14" fillId="0" borderId="33" xfId="12" applyFont="1" applyBorder="1" applyAlignment="1">
      <alignment horizontal="center"/>
    </xf>
    <xf numFmtId="0" fontId="14" fillId="0" borderId="0" xfId="12" applyFont="1" applyAlignment="1">
      <alignment horizontal="center"/>
    </xf>
    <xf numFmtId="0" fontId="14" fillId="0" borderId="17" xfId="12" applyFont="1" applyBorder="1" applyAlignment="1">
      <alignment horizontal="center"/>
    </xf>
    <xf numFmtId="0" fontId="12" fillId="0" borderId="8" xfId="12" applyFont="1" applyBorder="1" applyAlignment="1">
      <alignment horizontal="left" vertical="top" wrapText="1"/>
    </xf>
    <xf numFmtId="0" fontId="12" fillId="0" borderId="40" xfId="12" applyFont="1" applyBorder="1" applyAlignment="1">
      <alignment horizontal="left" vertical="top" wrapText="1"/>
    </xf>
    <xf numFmtId="0" fontId="12" fillId="0" borderId="42" xfId="12" applyFont="1" applyBorder="1" applyAlignment="1">
      <alignment horizontal="left" vertical="top" wrapText="1"/>
    </xf>
    <xf numFmtId="0" fontId="14" fillId="0" borderId="33" xfId="7" applyFont="1" applyBorder="1" applyAlignment="1">
      <alignment horizontal="center"/>
    </xf>
    <xf numFmtId="0" fontId="14" fillId="0" borderId="0" xfId="7" applyFont="1" applyAlignment="1">
      <alignment horizontal="center"/>
    </xf>
    <xf numFmtId="0" fontId="14" fillId="0" borderId="17" xfId="7" applyFont="1" applyBorder="1" applyAlignment="1">
      <alignment horizontal="center"/>
    </xf>
    <xf numFmtId="0" fontId="4" fillId="0" borderId="0" xfId="7" applyFont="1" applyAlignment="1">
      <alignment horizontal="center" wrapText="1"/>
    </xf>
    <xf numFmtId="0" fontId="3" fillId="0" borderId="0" xfId="7" applyAlignment="1">
      <alignment wrapText="1"/>
    </xf>
    <xf numFmtId="37" fontId="4" fillId="0" borderId="8" xfId="7" applyNumberFormat="1" applyFont="1" applyBorder="1" applyAlignment="1">
      <alignment horizontal="left" vertical="center"/>
    </xf>
    <xf numFmtId="0" fontId="4" fillId="0" borderId="40" xfId="7" applyFont="1" applyBorder="1" applyAlignment="1">
      <alignment horizontal="left" vertical="center"/>
    </xf>
    <xf numFmtId="0" fontId="4" fillId="0" borderId="40" xfId="7" applyFont="1" applyBorder="1" applyAlignment="1">
      <alignment horizontal="right" vertical="center"/>
    </xf>
    <xf numFmtId="0" fontId="3" fillId="0" borderId="42" xfId="7" applyBorder="1"/>
    <xf numFmtId="0" fontId="4" fillId="0" borderId="0" xfId="7" applyFont="1" applyAlignment="1">
      <alignment horizontal="left" wrapText="1"/>
    </xf>
    <xf numFmtId="0" fontId="3" fillId="0" borderId="0" xfId="7" applyAlignment="1">
      <alignment horizontal="left"/>
    </xf>
    <xf numFmtId="0" fontId="3" fillId="0" borderId="8" xfId="7" applyBorder="1" applyAlignment="1">
      <alignment horizontal="left"/>
    </xf>
    <xf numFmtId="0" fontId="3" fillId="0" borderId="40" xfId="7" applyBorder="1" applyAlignment="1">
      <alignment horizontal="left"/>
    </xf>
    <xf numFmtId="0" fontId="3" fillId="0" borderId="7" xfId="7" applyBorder="1" applyAlignment="1">
      <alignment horizontal="left"/>
    </xf>
    <xf numFmtId="0" fontId="4" fillId="11" borderId="7" xfId="7" applyFont="1" applyFill="1" applyBorder="1" applyAlignment="1">
      <alignment horizontal="left" vertical="center"/>
    </xf>
    <xf numFmtId="0" fontId="4" fillId="11" borderId="8" xfId="7" applyFont="1" applyFill="1" applyBorder="1" applyAlignment="1">
      <alignment horizontal="left" vertical="center"/>
    </xf>
    <xf numFmtId="0" fontId="4" fillId="11" borderId="10" xfId="7" applyFont="1" applyFill="1" applyBorder="1" applyAlignment="1">
      <alignment horizontal="left" vertical="center"/>
    </xf>
    <xf numFmtId="0" fontId="4" fillId="11" borderId="11" xfId="7" applyFont="1" applyFill="1" applyBorder="1" applyAlignment="1">
      <alignment horizontal="left" vertical="center"/>
    </xf>
    <xf numFmtId="0" fontId="4" fillId="0" borderId="5" xfId="7" applyFont="1" applyBorder="1" applyAlignment="1">
      <alignment horizontal="left" vertical="center"/>
    </xf>
    <xf numFmtId="0" fontId="4" fillId="0" borderId="49" xfId="7" applyFont="1" applyBorder="1" applyAlignment="1">
      <alignment horizontal="left" vertical="center"/>
    </xf>
    <xf numFmtId="0" fontId="4" fillId="0" borderId="2" xfId="7" applyFont="1" applyBorder="1" applyAlignment="1">
      <alignment horizontal="center"/>
    </xf>
    <xf numFmtId="0" fontId="4" fillId="0" borderId="37" xfId="7" applyFont="1" applyBorder="1" applyAlignment="1">
      <alignment horizontal="center"/>
    </xf>
    <xf numFmtId="0" fontId="4" fillId="0" borderId="38" xfId="7" applyFont="1" applyBorder="1" applyAlignment="1">
      <alignment horizontal="center"/>
    </xf>
    <xf numFmtId="0" fontId="4" fillId="0" borderId="5" xfId="7" applyFont="1" applyBorder="1" applyAlignment="1">
      <alignment horizontal="center"/>
    </xf>
    <xf numFmtId="0" fontId="4" fillId="0" borderId="49" xfId="7" applyFont="1" applyBorder="1" applyAlignment="1">
      <alignment horizontal="center"/>
    </xf>
    <xf numFmtId="0" fontId="4" fillId="0" borderId="4" xfId="7" applyFont="1" applyBorder="1" applyAlignment="1">
      <alignment horizontal="center" vertical="center"/>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48" xfId="7" applyFont="1" applyBorder="1" applyAlignment="1">
      <alignment horizontal="right" vertical="center"/>
    </xf>
    <xf numFmtId="0" fontId="4" fillId="0" borderId="34" xfId="7" applyFont="1" applyBorder="1" applyAlignment="1">
      <alignment horizontal="right" vertical="center"/>
    </xf>
    <xf numFmtId="0" fontId="4" fillId="0" borderId="25" xfId="7" applyFont="1" applyBorder="1" applyAlignment="1">
      <alignment horizontal="right" vertical="center"/>
    </xf>
    <xf numFmtId="0" fontId="4" fillId="0" borderId="66" xfId="7" applyFont="1" applyBorder="1" applyAlignment="1">
      <alignment horizontal="right" vertical="center"/>
    </xf>
    <xf numFmtId="0" fontId="4" fillId="0" borderId="11" xfId="7" applyFont="1" applyBorder="1" applyAlignment="1">
      <alignment horizontal="center"/>
    </xf>
    <xf numFmtId="0" fontId="4" fillId="0" borderId="32" xfId="7" applyFont="1" applyBorder="1" applyAlignment="1">
      <alignment horizontal="center"/>
    </xf>
    <xf numFmtId="0" fontId="4" fillId="0" borderId="81" xfId="7" applyFont="1" applyBorder="1" applyAlignment="1">
      <alignment horizontal="center"/>
    </xf>
    <xf numFmtId="4" fontId="24" fillId="0" borderId="5" xfId="7" applyNumberFormat="1" applyFont="1" applyBorder="1" applyAlignment="1">
      <alignment horizontal="center" vertical="center"/>
    </xf>
    <xf numFmtId="4" fontId="24" fillId="0" borderId="37" xfId="7" applyNumberFormat="1" applyFont="1" applyBorder="1" applyAlignment="1">
      <alignment horizontal="center" vertical="center"/>
    </xf>
    <xf numFmtId="4" fontId="24" fillId="0" borderId="49" xfId="7" applyNumberFormat="1" applyFont="1" applyBorder="1" applyAlignment="1">
      <alignment horizontal="center" vertical="center"/>
    </xf>
    <xf numFmtId="4" fontId="24" fillId="0" borderId="53" xfId="7" applyNumberFormat="1" applyFont="1" applyBorder="1" applyAlignment="1">
      <alignment horizontal="center" vertical="center"/>
    </xf>
    <xf numFmtId="4" fontId="24" fillId="0" borderId="29" xfId="7" applyNumberFormat="1" applyFont="1" applyBorder="1" applyAlignment="1">
      <alignment horizontal="center" vertical="center"/>
    </xf>
    <xf numFmtId="4" fontId="24" fillId="0" borderId="47" xfId="7" applyNumberFormat="1" applyFont="1" applyBorder="1" applyAlignment="1">
      <alignment horizontal="center" vertical="center"/>
    </xf>
    <xf numFmtId="0" fontId="14" fillId="0" borderId="33" xfId="7" applyFont="1" applyBorder="1" applyAlignment="1">
      <alignment horizontal="center" vertical="center"/>
    </xf>
    <xf numFmtId="0" fontId="14" fillId="0" borderId="17" xfId="7" applyFont="1" applyBorder="1" applyAlignment="1">
      <alignment horizontal="center" vertical="center"/>
    </xf>
    <xf numFmtId="188" fontId="4" fillId="0" borderId="40" xfId="7" applyNumberFormat="1" applyFont="1" applyBorder="1" applyAlignment="1">
      <alignment horizontal="center" vertical="center"/>
    </xf>
    <xf numFmtId="0" fontId="4" fillId="0" borderId="31" xfId="7" applyFont="1" applyBorder="1" applyAlignment="1">
      <alignment horizontal="center" vertical="center" wrapText="1"/>
    </xf>
    <xf numFmtId="0" fontId="4" fillId="0" borderId="32" xfId="7" applyFont="1" applyBorder="1" applyAlignment="1">
      <alignment horizontal="center" vertical="center" wrapText="1"/>
    </xf>
    <xf numFmtId="0" fontId="4" fillId="0" borderId="81" xfId="7" applyFont="1" applyBorder="1" applyAlignment="1">
      <alignment horizontal="center" vertical="center" wrapText="1"/>
    </xf>
    <xf numFmtId="0" fontId="4" fillId="0" borderId="11" xfId="7" applyFont="1" applyBorder="1" applyAlignment="1">
      <alignment horizontal="center" vertical="center"/>
    </xf>
    <xf numFmtId="0" fontId="4" fillId="0" borderId="32" xfId="7" applyFont="1" applyBorder="1" applyAlignment="1">
      <alignment horizontal="center" vertical="center"/>
    </xf>
    <xf numFmtId="0" fontId="4" fillId="0" borderId="81" xfId="7" applyFont="1" applyBorder="1" applyAlignment="1">
      <alignment horizontal="center" vertical="center"/>
    </xf>
    <xf numFmtId="0" fontId="4" fillId="0" borderId="5" xfId="7" applyFont="1" applyBorder="1" applyAlignment="1">
      <alignment horizontal="center" vertical="center"/>
    </xf>
    <xf numFmtId="0" fontId="4" fillId="0" borderId="37" xfId="7" applyFont="1" applyBorder="1" applyAlignment="1">
      <alignment horizontal="center" vertical="center"/>
    </xf>
    <xf numFmtId="0" fontId="4" fillId="0" borderId="49" xfId="7" applyFont="1" applyBorder="1" applyAlignment="1">
      <alignment horizontal="center" vertical="center"/>
    </xf>
    <xf numFmtId="0" fontId="4" fillId="0" borderId="36" xfId="7" applyFont="1" applyBorder="1" applyAlignment="1">
      <alignment horizontal="center" vertical="center" wrapText="1"/>
    </xf>
    <xf numFmtId="0" fontId="4" fillId="0" borderId="37" xfId="7" applyFont="1" applyBorder="1" applyAlignment="1">
      <alignment horizontal="center" vertical="center" wrapText="1"/>
    </xf>
    <xf numFmtId="0" fontId="4" fillId="0" borderId="49" xfId="7" applyFont="1" applyBorder="1" applyAlignment="1">
      <alignment horizontal="center" vertical="center" wrapText="1"/>
    </xf>
    <xf numFmtId="0" fontId="3" fillId="13" borderId="28" xfId="7" applyFill="1" applyBorder="1" applyAlignment="1">
      <alignment horizontal="left" indent="2"/>
    </xf>
    <xf numFmtId="0" fontId="3" fillId="13" borderId="29" xfId="7" applyFill="1" applyBorder="1" applyAlignment="1">
      <alignment horizontal="left" indent="2"/>
    </xf>
    <xf numFmtId="0" fontId="3" fillId="13" borderId="47" xfId="7" applyFill="1" applyBorder="1" applyAlignment="1">
      <alignment horizontal="left" indent="2"/>
    </xf>
    <xf numFmtId="0" fontId="4" fillId="0" borderId="40" xfId="7" applyFont="1" applyBorder="1" applyAlignment="1">
      <alignment horizontal="right" vertical="center" wrapText="1"/>
    </xf>
    <xf numFmtId="1" fontId="4" fillId="0" borderId="40" xfId="7" applyNumberFormat="1" applyFont="1" applyBorder="1" applyAlignment="1">
      <alignment horizontal="left" vertical="center"/>
    </xf>
    <xf numFmtId="0" fontId="4" fillId="0" borderId="42" xfId="7" applyFont="1" applyBorder="1" applyAlignment="1">
      <alignment horizontal="left" vertical="center"/>
    </xf>
    <xf numFmtId="0" fontId="4" fillId="0" borderId="21" xfId="7" applyFont="1" applyBorder="1" applyAlignment="1">
      <alignment horizontal="center"/>
    </xf>
    <xf numFmtId="0" fontId="4" fillId="0" borderId="22" xfId="7" applyFont="1" applyBorder="1" applyAlignment="1">
      <alignment horizontal="center"/>
    </xf>
    <xf numFmtId="0" fontId="4" fillId="0" borderId="24" xfId="7" applyFont="1" applyBorder="1" applyAlignment="1">
      <alignment horizontal="center"/>
    </xf>
    <xf numFmtId="0" fontId="4" fillId="0" borderId="28" xfId="7" applyFont="1" applyBorder="1" applyAlignment="1">
      <alignment horizontal="left" vertical="center"/>
    </xf>
    <xf numFmtId="0" fontId="4" fillId="0" borderId="29" xfId="7" applyFont="1" applyBorder="1" applyAlignment="1">
      <alignment horizontal="left" vertical="center"/>
    </xf>
    <xf numFmtId="0" fontId="4" fillId="0" borderId="47" xfId="7" applyFont="1" applyBorder="1" applyAlignment="1">
      <alignment horizontal="left" vertical="center"/>
    </xf>
    <xf numFmtId="0" fontId="3" fillId="13" borderId="28" xfId="7" applyFill="1" applyBorder="1" applyAlignment="1">
      <alignment horizontal="left" indent="1"/>
    </xf>
    <xf numFmtId="0" fontId="3" fillId="13" borderId="29" xfId="7" applyFill="1" applyBorder="1" applyAlignment="1">
      <alignment horizontal="left" indent="1"/>
    </xf>
    <xf numFmtId="0" fontId="3" fillId="13" borderId="47" xfId="7" applyFill="1" applyBorder="1" applyAlignment="1">
      <alignment horizontal="left" indent="1"/>
    </xf>
    <xf numFmtId="0" fontId="3" fillId="13" borderId="39" xfId="7" applyFill="1" applyBorder="1" applyAlignment="1">
      <alignment horizontal="left" indent="2"/>
    </xf>
    <xf numFmtId="0" fontId="3" fillId="13" borderId="40" xfId="7" applyFill="1" applyBorder="1" applyAlignment="1">
      <alignment horizontal="left" indent="2"/>
    </xf>
    <xf numFmtId="0" fontId="3" fillId="13" borderId="42" xfId="7" applyFill="1" applyBorder="1" applyAlignment="1">
      <alignment horizontal="left" indent="2"/>
    </xf>
    <xf numFmtId="0" fontId="3" fillId="13" borderId="73" xfId="7" applyFill="1" applyBorder="1" applyAlignment="1">
      <alignment horizontal="left" indent="2"/>
    </xf>
    <xf numFmtId="0" fontId="3" fillId="13" borderId="45" xfId="7" applyFill="1" applyBorder="1" applyAlignment="1">
      <alignment horizontal="left" indent="2"/>
    </xf>
    <xf numFmtId="0" fontId="3" fillId="13" borderId="46" xfId="7" applyFill="1" applyBorder="1" applyAlignment="1">
      <alignment horizontal="left" indent="2"/>
    </xf>
    <xf numFmtId="0" fontId="3" fillId="0" borderId="31" xfId="7" applyBorder="1" applyAlignment="1">
      <alignment horizontal="left" indent="2"/>
    </xf>
    <xf numFmtId="0" fontId="3" fillId="0" borderId="32" xfId="7" applyBorder="1" applyAlignment="1">
      <alignment horizontal="left" indent="2"/>
    </xf>
    <xf numFmtId="0" fontId="3" fillId="0" borderId="81" xfId="7" applyBorder="1" applyAlignment="1">
      <alignment horizontal="left" indent="2"/>
    </xf>
    <xf numFmtId="0" fontId="3" fillId="0" borderId="11" xfId="7" applyBorder="1" applyAlignment="1">
      <alignment horizontal="center"/>
    </xf>
    <xf numFmtId="0" fontId="3" fillId="0" borderId="32" xfId="7" applyBorder="1" applyAlignment="1">
      <alignment horizontal="center"/>
    </xf>
    <xf numFmtId="0" fontId="3" fillId="0" borderId="81" xfId="7" applyBorder="1" applyAlignment="1">
      <alignment horizontal="center"/>
    </xf>
    <xf numFmtId="0" fontId="4" fillId="0" borderId="21" xfId="7" applyFont="1" applyBorder="1" applyAlignment="1">
      <alignment horizontal="left" vertical="center"/>
    </xf>
    <xf numFmtId="0" fontId="4" fillId="0" borderId="22" xfId="7" applyFont="1" applyBorder="1" applyAlignment="1">
      <alignment horizontal="left" vertical="center"/>
    </xf>
    <xf numFmtId="0" fontId="4" fillId="0" borderId="24" xfId="7" applyFont="1" applyBorder="1" applyAlignment="1">
      <alignment horizontal="left" vertical="center"/>
    </xf>
    <xf numFmtId="0" fontId="3" fillId="0" borderId="15" xfId="7" applyBorder="1" applyAlignment="1">
      <alignment horizontal="left" vertical="center"/>
    </xf>
    <xf numFmtId="0" fontId="3" fillId="0" borderId="7" xfId="7" applyBorder="1" applyAlignment="1">
      <alignment horizontal="left" vertical="center"/>
    </xf>
    <xf numFmtId="0" fontId="3" fillId="18" borderId="15" xfId="7" applyFill="1" applyBorder="1" applyAlignment="1" applyProtection="1">
      <alignment horizontal="left" vertical="center"/>
      <protection locked="0"/>
    </xf>
    <xf numFmtId="0" fontId="3" fillId="18" borderId="7" xfId="7" applyFill="1" applyBorder="1" applyAlignment="1" applyProtection="1">
      <alignment horizontal="left" vertical="center"/>
      <protection locked="0"/>
    </xf>
    <xf numFmtId="0" fontId="4" fillId="0" borderId="21" xfId="7" applyFont="1" applyBorder="1" applyAlignment="1">
      <alignment horizontal="center" vertical="center"/>
    </xf>
    <xf numFmtId="0" fontId="4" fillId="0" borderId="22" xfId="7" applyFont="1" applyBorder="1" applyAlignment="1">
      <alignment horizontal="center" vertical="center"/>
    </xf>
    <xf numFmtId="0" fontId="4" fillId="0" borderId="24" xfId="7" applyFont="1" applyBorder="1" applyAlignment="1">
      <alignment horizontal="center" vertical="center"/>
    </xf>
    <xf numFmtId="188" fontId="4" fillId="0" borderId="40" xfId="7" applyNumberFormat="1" applyFont="1" applyBorder="1" applyAlignment="1">
      <alignment horizontal="center" vertical="center" wrapText="1"/>
    </xf>
    <xf numFmtId="0" fontId="3" fillId="0" borderId="73" xfId="7" applyBorder="1" applyAlignment="1">
      <alignment horizontal="center"/>
    </xf>
    <xf numFmtId="0" fontId="3" fillId="0" borderId="45" xfId="7" applyBorder="1" applyAlignment="1">
      <alignment horizontal="center"/>
    </xf>
    <xf numFmtId="0" fontId="3" fillId="0" borderId="46" xfId="7" applyBorder="1" applyAlignment="1">
      <alignment horizontal="center"/>
    </xf>
    <xf numFmtId="0" fontId="3" fillId="0" borderId="36" xfId="7" applyBorder="1" applyAlignment="1">
      <alignment horizontal="left" indent="2"/>
    </xf>
    <xf numFmtId="0" fontId="3" fillId="0" borderId="37" xfId="7" applyBorder="1" applyAlignment="1">
      <alignment horizontal="left" indent="2"/>
    </xf>
    <xf numFmtId="0" fontId="3" fillId="0" borderId="49" xfId="7" applyBorder="1" applyAlignment="1">
      <alignment horizontal="left" indent="2"/>
    </xf>
    <xf numFmtId="0" fontId="4" fillId="0" borderId="8" xfId="7" applyFont="1" applyBorder="1" applyAlignment="1">
      <alignment horizontal="left" vertical="center"/>
    </xf>
    <xf numFmtId="0" fontId="4" fillId="0" borderId="14" xfId="7" applyFont="1" applyBorder="1" applyAlignment="1">
      <alignment horizontal="left" vertical="center"/>
    </xf>
    <xf numFmtId="0" fontId="4" fillId="0" borderId="4" xfId="7" applyFont="1" applyBorder="1" applyAlignment="1">
      <alignment horizontal="left" vertical="center"/>
    </xf>
    <xf numFmtId="0" fontId="4" fillId="0" borderId="28" xfId="7" applyFont="1" applyBorder="1" applyAlignment="1">
      <alignment horizontal="left" indent="2"/>
    </xf>
    <xf numFmtId="0" fontId="4" fillId="0" borderId="29" xfId="7" applyFont="1" applyBorder="1" applyAlignment="1">
      <alignment horizontal="left" indent="2"/>
    </xf>
    <xf numFmtId="0" fontId="4" fillId="0" borderId="47" xfId="7" applyFont="1" applyBorder="1" applyAlignment="1">
      <alignment horizontal="left" indent="2"/>
    </xf>
    <xf numFmtId="0" fontId="4" fillId="0" borderId="36" xfId="7" applyFont="1" applyBorder="1" applyAlignment="1">
      <alignment horizontal="left" vertical="center"/>
    </xf>
    <xf numFmtId="0" fontId="4" fillId="0" borderId="37" xfId="7" applyFont="1" applyBorder="1" applyAlignment="1">
      <alignment horizontal="left" vertical="center"/>
    </xf>
    <xf numFmtId="0" fontId="3" fillId="0" borderId="1" xfId="7" applyBorder="1" applyAlignment="1">
      <alignment horizontal="left" indent="2"/>
    </xf>
    <xf numFmtId="0" fontId="3" fillId="0" borderId="2" xfId="7" applyBorder="1" applyAlignment="1">
      <alignment horizontal="left" indent="2"/>
    </xf>
    <xf numFmtId="0" fontId="3" fillId="0" borderId="48" xfId="7" applyBorder="1" applyAlignment="1">
      <alignment horizontal="left" indent="2"/>
    </xf>
    <xf numFmtId="0" fontId="3" fillId="0" borderId="21" xfId="7" applyBorder="1" applyAlignment="1">
      <alignment horizontal="center"/>
    </xf>
    <xf numFmtId="0" fontId="3" fillId="0" borderId="22" xfId="7" applyBorder="1" applyAlignment="1">
      <alignment horizontal="center"/>
    </xf>
    <xf numFmtId="0" fontId="3" fillId="0" borderId="28" xfId="7" applyBorder="1" applyAlignment="1">
      <alignment horizontal="left" indent="2"/>
    </xf>
    <xf numFmtId="0" fontId="3" fillId="0" borderId="29" xfId="7" applyBorder="1" applyAlignment="1">
      <alignment horizontal="left" indent="2"/>
    </xf>
    <xf numFmtId="0" fontId="3" fillId="0" borderId="47" xfId="7" applyBorder="1" applyAlignment="1">
      <alignment horizontal="left" indent="2"/>
    </xf>
    <xf numFmtId="0" fontId="3" fillId="0" borderId="8" xfId="7" applyBorder="1" applyAlignment="1">
      <alignment horizontal="center"/>
    </xf>
    <xf numFmtId="0" fontId="3" fillId="0" borderId="40" xfId="7" applyBorder="1" applyAlignment="1">
      <alignment horizontal="center"/>
    </xf>
    <xf numFmtId="0" fontId="3" fillId="0" borderId="42" xfId="7" applyBorder="1" applyAlignment="1">
      <alignment horizontal="center"/>
    </xf>
    <xf numFmtId="0" fontId="4" fillId="0" borderId="28" xfId="7" applyFont="1" applyBorder="1" applyAlignment="1">
      <alignment horizontal="left"/>
    </xf>
    <xf numFmtId="0" fontId="4" fillId="0" borderId="29" xfId="7" applyFont="1" applyBorder="1" applyAlignment="1">
      <alignment horizontal="left"/>
    </xf>
    <xf numFmtId="0" fontId="4" fillId="0" borderId="47" xfId="7" applyFont="1" applyBorder="1" applyAlignment="1">
      <alignment horizontal="left"/>
    </xf>
    <xf numFmtId="0" fontId="4" fillId="13" borderId="28" xfId="7" applyFont="1" applyFill="1" applyBorder="1" applyAlignment="1">
      <alignment horizontal="left"/>
    </xf>
    <xf numFmtId="0" fontId="4" fillId="13" borderId="29" xfId="7" applyFont="1" applyFill="1" applyBorder="1" applyAlignment="1">
      <alignment horizontal="left"/>
    </xf>
    <xf numFmtId="0" fontId="4" fillId="13" borderId="47" xfId="7" applyFont="1" applyFill="1" applyBorder="1" applyAlignment="1">
      <alignment horizontal="left"/>
    </xf>
    <xf numFmtId="0" fontId="4" fillId="13" borderId="28" xfId="7" applyFont="1" applyFill="1" applyBorder="1" applyAlignment="1">
      <alignment horizontal="left" vertical="center"/>
    </xf>
    <xf numFmtId="0" fontId="4" fillId="13" borderId="29" xfId="7" applyFont="1" applyFill="1" applyBorder="1" applyAlignment="1">
      <alignment horizontal="left" vertical="center"/>
    </xf>
    <xf numFmtId="0" fontId="4" fillId="13" borderId="47" xfId="7" applyFont="1" applyFill="1" applyBorder="1" applyAlignment="1">
      <alignment horizontal="left" vertical="center"/>
    </xf>
    <xf numFmtId="0" fontId="3" fillId="13" borderId="15" xfId="7" applyFill="1" applyBorder="1" applyAlignment="1">
      <alignment horizontal="left" indent="2"/>
    </xf>
    <xf numFmtId="0" fontId="3" fillId="13" borderId="7" xfId="7" applyFill="1" applyBorder="1" applyAlignment="1">
      <alignment horizontal="left" indent="2"/>
    </xf>
    <xf numFmtId="0" fontId="4" fillId="0" borderId="50" xfId="7" applyFont="1" applyBorder="1" applyAlignment="1">
      <alignment horizontal="left"/>
    </xf>
    <xf numFmtId="0" fontId="4" fillId="0" borderId="51" xfId="7" applyFont="1" applyBorder="1" applyAlignment="1">
      <alignment horizontal="left"/>
    </xf>
    <xf numFmtId="0" fontId="3" fillId="13" borderId="39" xfId="7" applyFill="1" applyBorder="1" applyAlignment="1">
      <alignment horizontal="center"/>
    </xf>
    <xf numFmtId="0" fontId="3" fillId="13" borderId="40" xfId="7" applyFill="1" applyBorder="1" applyAlignment="1">
      <alignment horizontal="center"/>
    </xf>
    <xf numFmtId="0" fontId="3" fillId="13" borderId="42" xfId="7" applyFill="1" applyBorder="1" applyAlignment="1">
      <alignment horizontal="center"/>
    </xf>
    <xf numFmtId="0" fontId="3" fillId="0" borderId="15" xfId="7" applyBorder="1" applyAlignment="1">
      <alignment horizontal="left" indent="2"/>
    </xf>
    <xf numFmtId="0" fontId="3" fillId="0" borderId="7" xfId="7" applyBorder="1" applyAlignment="1">
      <alignment horizontal="left" indent="2"/>
    </xf>
    <xf numFmtId="0" fontId="4" fillId="0" borderId="15" xfId="7" applyFont="1" applyBorder="1" applyAlignment="1">
      <alignment horizontal="left"/>
    </xf>
    <xf numFmtId="0" fontId="4" fillId="0" borderId="7" xfId="7" applyFont="1" applyBorder="1" applyAlignment="1">
      <alignment horizontal="left"/>
    </xf>
    <xf numFmtId="0" fontId="3" fillId="0" borderId="0" xfId="7" applyAlignment="1">
      <alignment horizontal="center"/>
    </xf>
    <xf numFmtId="0" fontId="4" fillId="11" borderId="21" xfId="7" applyFont="1" applyFill="1" applyBorder="1" applyAlignment="1">
      <alignment horizontal="center"/>
    </xf>
    <xf numFmtId="0" fontId="4" fillId="11" borderId="22" xfId="7" applyFont="1" applyFill="1" applyBorder="1" applyAlignment="1">
      <alignment horizontal="center"/>
    </xf>
    <xf numFmtId="0" fontId="4" fillId="11" borderId="24" xfId="7" applyFont="1" applyFill="1" applyBorder="1" applyAlignment="1">
      <alignment horizontal="center"/>
    </xf>
    <xf numFmtId="0" fontId="3" fillId="11" borderId="21" xfId="7" applyFill="1" applyBorder="1" applyAlignment="1">
      <alignment horizontal="center"/>
    </xf>
    <xf numFmtId="0" fontId="3" fillId="11" borderId="22" xfId="7" applyFill="1" applyBorder="1" applyAlignment="1">
      <alignment horizontal="center"/>
    </xf>
    <xf numFmtId="0" fontId="3" fillId="11" borderId="24" xfId="7" applyFill="1" applyBorder="1" applyAlignment="1">
      <alignment horizontal="center"/>
    </xf>
    <xf numFmtId="0" fontId="3" fillId="0" borderId="2" xfId="7" applyBorder="1" applyAlignment="1">
      <alignment horizontal="center"/>
    </xf>
    <xf numFmtId="17" fontId="3" fillId="0" borderId="2" xfId="7" applyNumberFormat="1" applyBorder="1" applyAlignment="1">
      <alignment horizontal="left"/>
    </xf>
    <xf numFmtId="0" fontId="3" fillId="9" borderId="0" xfId="7" applyFill="1" applyAlignment="1">
      <alignment horizontal="left"/>
    </xf>
    <xf numFmtId="0" fontId="3" fillId="0" borderId="0" xfId="7" applyAlignment="1">
      <alignment horizontal="right"/>
    </xf>
    <xf numFmtId="0" fontId="3" fillId="0" borderId="25" xfId="7" applyBorder="1" applyAlignment="1">
      <alignment horizontal="right"/>
    </xf>
    <xf numFmtId="0" fontId="4" fillId="0" borderId="82" xfId="7" applyFont="1" applyBorder="1" applyAlignment="1">
      <alignment horizontal="center" vertical="center" wrapText="1"/>
    </xf>
    <xf numFmtId="0" fontId="4" fillId="0" borderId="21" xfId="7" applyFont="1" applyBorder="1" applyAlignment="1">
      <alignment horizontal="center" vertical="center" wrapText="1"/>
    </xf>
    <xf numFmtId="0" fontId="3" fillId="0" borderId="35" xfId="7" applyBorder="1"/>
    <xf numFmtId="0" fontId="4" fillId="0" borderId="46" xfId="7" applyFont="1" applyBorder="1" applyAlignment="1">
      <alignment horizontal="center" vertical="center"/>
    </xf>
    <xf numFmtId="0" fontId="4" fillId="0" borderId="57" xfId="7" applyFont="1" applyBorder="1" applyAlignment="1">
      <alignment horizontal="center" vertical="center"/>
    </xf>
    <xf numFmtId="37" fontId="25" fillId="0" borderId="57" xfId="7" applyNumberFormat="1" applyFont="1" applyBorder="1" applyAlignment="1">
      <alignment horizontal="center" vertical="center"/>
    </xf>
    <xf numFmtId="37" fontId="25" fillId="0" borderId="59" xfId="7" applyNumberFormat="1" applyFont="1" applyBorder="1" applyAlignment="1">
      <alignment horizontal="center" vertical="center"/>
    </xf>
    <xf numFmtId="0" fontId="3" fillId="0" borderId="1" xfId="7" applyBorder="1" applyAlignment="1">
      <alignment horizontal="left" vertical="center"/>
    </xf>
    <xf numFmtId="0" fontId="3" fillId="0" borderId="3" xfId="7" applyBorder="1"/>
    <xf numFmtId="0" fontId="4" fillId="0" borderId="2" xfId="7" applyFont="1" applyBorder="1" applyAlignment="1">
      <alignment horizontal="center" vertical="center" wrapText="1"/>
    </xf>
    <xf numFmtId="0" fontId="4" fillId="0" borderId="48" xfId="7" applyFont="1" applyBorder="1" applyAlignment="1">
      <alignment horizontal="center" vertical="center" wrapText="1"/>
    </xf>
    <xf numFmtId="0" fontId="4" fillId="0" borderId="29" xfId="7" applyFont="1" applyBorder="1" applyAlignment="1">
      <alignment horizontal="center" vertical="center" wrapText="1"/>
    </xf>
    <xf numFmtId="0" fontId="4" fillId="0" borderId="47" xfId="7" applyFont="1" applyBorder="1" applyAlignment="1">
      <alignment horizontal="center" vertical="center" wrapText="1"/>
    </xf>
    <xf numFmtId="0" fontId="4" fillId="0" borderId="3" xfId="7" applyFont="1" applyBorder="1" applyAlignment="1">
      <alignment horizontal="center" vertical="center" wrapText="1"/>
    </xf>
    <xf numFmtId="0" fontId="4" fillId="0" borderId="67" xfId="7" applyFont="1" applyBorder="1" applyAlignment="1">
      <alignment horizontal="center" vertical="center" wrapText="1"/>
    </xf>
    <xf numFmtId="0" fontId="3" fillId="0" borderId="17" xfId="7" applyBorder="1"/>
    <xf numFmtId="0" fontId="4" fillId="0" borderId="42" xfId="7" applyFont="1" applyBorder="1" applyAlignment="1">
      <alignment horizontal="center" vertical="center"/>
    </xf>
    <xf numFmtId="0" fontId="4" fillId="0" borderId="7" xfId="7" applyFont="1" applyBorder="1" applyAlignment="1">
      <alignment horizontal="center" vertical="center"/>
    </xf>
    <xf numFmtId="1" fontId="25" fillId="11" borderId="7" xfId="7" applyNumberFormat="1" applyFont="1" applyFill="1" applyBorder="1" applyAlignment="1">
      <alignment horizontal="center" vertical="center"/>
    </xf>
    <xf numFmtId="0" fontId="25" fillId="11" borderId="7" xfId="7" applyFont="1" applyFill="1" applyBorder="1" applyAlignment="1">
      <alignment horizontal="center" vertical="center"/>
    </xf>
    <xf numFmtId="0" fontId="25" fillId="11" borderId="9" xfId="7" applyFont="1" applyFill="1" applyBorder="1" applyAlignment="1">
      <alignment horizontal="center" vertical="center"/>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26" xfId="7" applyFont="1" applyBorder="1" applyAlignment="1">
      <alignment horizontal="center" vertical="center" wrapText="1"/>
    </xf>
    <xf numFmtId="0" fontId="26" fillId="0" borderId="60" xfId="7" applyFont="1" applyBorder="1" applyAlignment="1">
      <alignment horizontal="left" vertical="center"/>
    </xf>
    <xf numFmtId="0" fontId="26" fillId="0" borderId="2" xfId="7" applyFont="1" applyBorder="1" applyAlignment="1">
      <alignment horizontal="left" vertical="center"/>
    </xf>
    <xf numFmtId="0" fontId="26" fillId="0" borderId="2" xfId="7" applyFont="1" applyBorder="1" applyAlignment="1">
      <alignment vertical="center"/>
    </xf>
    <xf numFmtId="0" fontId="27" fillId="0" borderId="1" xfId="7" applyFont="1" applyBorder="1" applyAlignment="1">
      <alignment horizontal="center" vertical="center" wrapText="1"/>
    </xf>
    <xf numFmtId="0" fontId="27" fillId="0" borderId="2" xfId="7" applyFont="1" applyBorder="1" applyAlignment="1">
      <alignment horizontal="center" vertical="center" wrapText="1"/>
    </xf>
    <xf numFmtId="0" fontId="27" fillId="0" borderId="28" xfId="7" applyFont="1" applyBorder="1" applyAlignment="1">
      <alignment horizontal="center" vertical="center" wrapText="1"/>
    </xf>
    <xf numFmtId="0" fontId="27" fillId="0" borderId="29" xfId="7" applyFont="1" applyBorder="1" applyAlignment="1">
      <alignment horizontal="center" vertical="center" wrapText="1"/>
    </xf>
    <xf numFmtId="0" fontId="27" fillId="0" borderId="3" xfId="7" applyFont="1" applyBorder="1" applyAlignment="1">
      <alignment horizontal="center" vertical="center" wrapText="1"/>
    </xf>
    <xf numFmtId="0" fontId="27" fillId="0" borderId="67" xfId="7" applyFont="1" applyBorder="1" applyAlignment="1">
      <alignment horizontal="center" vertical="center" wrapText="1"/>
    </xf>
    <xf numFmtId="0" fontId="26" fillId="0" borderId="52" xfId="7" applyFont="1" applyBorder="1" applyAlignment="1">
      <alignment vertical="center"/>
    </xf>
    <xf numFmtId="0" fontId="26" fillId="0" borderId="0" xfId="7" applyFont="1" applyAlignment="1">
      <alignment vertical="center"/>
    </xf>
    <xf numFmtId="0" fontId="27" fillId="0" borderId="15" xfId="7" applyFont="1" applyBorder="1" applyAlignment="1">
      <alignment horizontal="center" vertical="center"/>
    </xf>
    <xf numFmtId="0" fontId="27" fillId="0" borderId="7" xfId="7" applyFont="1" applyBorder="1" applyAlignment="1">
      <alignment horizontal="center" vertical="center"/>
    </xf>
    <xf numFmtId="0" fontId="26" fillId="0" borderId="53" xfId="7" applyFont="1" applyBorder="1" applyAlignment="1">
      <alignment vertical="center"/>
    </xf>
    <xf numFmtId="0" fontId="26" fillId="0" borderId="29" xfId="7" applyFont="1" applyBorder="1" applyAlignment="1">
      <alignment vertical="center"/>
    </xf>
    <xf numFmtId="0" fontId="27" fillId="0" borderId="16" xfId="7" applyFont="1" applyBorder="1" applyAlignment="1">
      <alignment horizontal="center" vertical="center"/>
    </xf>
    <xf numFmtId="0" fontId="27" fillId="0" borderId="10" xfId="7" applyFont="1" applyBorder="1" applyAlignment="1">
      <alignment horizontal="center" vertical="center"/>
    </xf>
    <xf numFmtId="37" fontId="25" fillId="0" borderId="10" xfId="7" applyNumberFormat="1" applyFont="1" applyBorder="1" applyAlignment="1">
      <alignment horizontal="center" vertical="center"/>
    </xf>
    <xf numFmtId="37" fontId="25" fillId="0" borderId="12" xfId="7" applyNumberFormat="1" applyFont="1" applyBorder="1" applyAlignment="1">
      <alignment horizontal="center" vertical="center"/>
    </xf>
    <xf numFmtId="0" fontId="26" fillId="0" borderId="44" xfId="7" applyFont="1" applyBorder="1" applyAlignment="1">
      <alignment horizontal="left" vertical="center"/>
    </xf>
    <xf numFmtId="0" fontId="26" fillId="0" borderId="45" xfId="7" applyFont="1" applyBorder="1" applyAlignment="1">
      <alignment horizontal="left" vertical="center"/>
    </xf>
    <xf numFmtId="0" fontId="26" fillId="0" borderId="45" xfId="7" applyFont="1" applyBorder="1" applyAlignment="1">
      <alignment vertical="center"/>
    </xf>
    <xf numFmtId="0" fontId="26" fillId="0" borderId="1" xfId="7" applyFont="1" applyBorder="1" applyAlignment="1">
      <alignment horizontal="left" vertical="center"/>
    </xf>
    <xf numFmtId="0" fontId="26" fillId="0" borderId="33" xfId="7" applyFont="1" applyBorder="1" applyAlignment="1">
      <alignment vertical="center"/>
    </xf>
    <xf numFmtId="0" fontId="26" fillId="0" borderId="28" xfId="7" applyFont="1" applyBorder="1" applyAlignment="1">
      <alignment vertical="center"/>
    </xf>
    <xf numFmtId="0" fontId="3" fillId="0" borderId="53" xfId="7" applyBorder="1" applyAlignment="1">
      <alignment vertical="center"/>
    </xf>
    <xf numFmtId="0" fontId="3" fillId="0" borderId="29" xfId="7" applyBorder="1" applyAlignment="1">
      <alignment vertical="center"/>
    </xf>
    <xf numFmtId="0" fontId="4" fillId="0" borderId="16" xfId="7" applyFont="1" applyBorder="1" applyAlignment="1">
      <alignment horizontal="center" vertical="center"/>
    </xf>
    <xf numFmtId="0" fontId="4" fillId="0" borderId="10" xfId="7" applyFont="1" applyBorder="1" applyAlignment="1">
      <alignment horizontal="center" vertical="center"/>
    </xf>
    <xf numFmtId="0" fontId="3" fillId="0" borderId="60" xfId="7" applyBorder="1" applyAlignment="1">
      <alignment horizontal="left" vertical="center"/>
    </xf>
    <xf numFmtId="0" fontId="3" fillId="0" borderId="2" xfId="7" applyBorder="1" applyAlignment="1">
      <alignment vertical="center"/>
    </xf>
    <xf numFmtId="0" fontId="4" fillId="0" borderId="1" xfId="7" applyFont="1" applyBorder="1" applyAlignment="1">
      <alignment horizontal="center" vertical="center" wrapText="1"/>
    </xf>
    <xf numFmtId="0" fontId="4" fillId="0" borderId="28" xfId="7" applyFont="1" applyBorder="1" applyAlignment="1">
      <alignment horizontal="center" vertical="center" wrapText="1"/>
    </xf>
    <xf numFmtId="0" fontId="3" fillId="0" borderId="52" xfId="7" applyBorder="1" applyAlignment="1">
      <alignment vertical="center"/>
    </xf>
    <xf numFmtId="0" fontId="3" fillId="0" borderId="0" xfId="7" applyAlignment="1">
      <alignment vertical="center"/>
    </xf>
    <xf numFmtId="0" fontId="4" fillId="0" borderId="15" xfId="7" applyFont="1" applyBorder="1" applyAlignment="1">
      <alignment horizontal="center" vertical="center"/>
    </xf>
    <xf numFmtId="0" fontId="14" fillId="0" borderId="2" xfId="7" applyFont="1" applyBorder="1" applyAlignment="1">
      <alignment horizontal="center"/>
    </xf>
    <xf numFmtId="0" fontId="14" fillId="0" borderId="3" xfId="7" applyFont="1" applyBorder="1" applyAlignment="1">
      <alignment horizontal="center"/>
    </xf>
    <xf numFmtId="0" fontId="3" fillId="9" borderId="51" xfId="7" applyFill="1" applyBorder="1" applyAlignment="1">
      <alignment horizontal="center" vertical="center"/>
    </xf>
    <xf numFmtId="0" fontId="4" fillId="0" borderId="53" xfId="7" applyFont="1" applyBorder="1" applyAlignment="1">
      <alignment horizontal="left" vertical="center"/>
    </xf>
    <xf numFmtId="0" fontId="3" fillId="9" borderId="53" xfId="7" applyFill="1" applyBorder="1" applyAlignment="1">
      <alignment horizontal="center" vertical="center"/>
    </xf>
    <xf numFmtId="0" fontId="3" fillId="9" borderId="67" xfId="7" applyFill="1" applyBorder="1" applyAlignment="1">
      <alignment horizontal="center" vertical="center"/>
    </xf>
    <xf numFmtId="0" fontId="3" fillId="13" borderId="7" xfId="7" applyFill="1" applyBorder="1" applyAlignment="1">
      <alignment horizontal="center" vertical="center"/>
    </xf>
    <xf numFmtId="0" fontId="3" fillId="9" borderId="8" xfId="7" applyFill="1" applyBorder="1" applyAlignment="1">
      <alignment horizontal="center" vertical="center"/>
    </xf>
    <xf numFmtId="0" fontId="3" fillId="9" borderId="41" xfId="7" applyFill="1" applyBorder="1" applyAlignment="1">
      <alignment horizontal="center" vertical="center"/>
    </xf>
    <xf numFmtId="0" fontId="3" fillId="13" borderId="7" xfId="7" applyFill="1" applyBorder="1" applyAlignment="1">
      <alignment horizontal="center"/>
    </xf>
    <xf numFmtId="0" fontId="3" fillId="9" borderId="7" xfId="7" applyFill="1" applyBorder="1" applyAlignment="1">
      <alignment horizontal="center" vertical="center"/>
    </xf>
    <xf numFmtId="0" fontId="4" fillId="0" borderId="84" xfId="7" applyFont="1" applyBorder="1" applyAlignment="1">
      <alignment horizontal="center" vertical="center"/>
    </xf>
    <xf numFmtId="0" fontId="4" fillId="0" borderId="83" xfId="7" applyFont="1" applyBorder="1" applyAlignment="1">
      <alignment horizontal="center" vertical="center"/>
    </xf>
    <xf numFmtId="0" fontId="4" fillId="0" borderId="48" xfId="7" applyFont="1" applyBorder="1" applyAlignment="1">
      <alignment horizontal="center" vertical="center"/>
    </xf>
    <xf numFmtId="0" fontId="4" fillId="0" borderId="66" xfId="7" applyFont="1" applyBorder="1" applyAlignment="1">
      <alignment horizontal="center" vertical="center"/>
    </xf>
    <xf numFmtId="0" fontId="4" fillId="0" borderId="18" xfId="7" applyFont="1" applyBorder="1" applyAlignment="1">
      <alignment horizontal="center" vertical="center"/>
    </xf>
    <xf numFmtId="0" fontId="4" fillId="0" borderId="80" xfId="7" applyFont="1" applyBorder="1" applyAlignment="1">
      <alignment horizontal="center" vertical="center"/>
    </xf>
    <xf numFmtId="0" fontId="4" fillId="0" borderId="27" xfId="7" applyFont="1" applyBorder="1" applyAlignment="1">
      <alignment horizontal="center" vertical="center"/>
    </xf>
    <xf numFmtId="0" fontId="3" fillId="0" borderId="69" xfId="7" applyBorder="1" applyAlignment="1">
      <alignment horizontal="center" vertical="center"/>
    </xf>
    <xf numFmtId="0" fontId="4" fillId="0" borderId="10" xfId="7" applyFont="1" applyBorder="1" applyAlignment="1">
      <alignment horizontal="center" vertical="top"/>
    </xf>
    <xf numFmtId="0" fontId="3" fillId="14" borderId="51" xfId="7" applyFill="1" applyBorder="1" applyAlignment="1">
      <alignment horizontal="center"/>
    </xf>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3" fillId="0" borderId="33" xfId="7" applyBorder="1" applyAlignment="1">
      <alignment horizontal="center"/>
    </xf>
    <xf numFmtId="0" fontId="3" fillId="0" borderId="17" xfId="7" applyBorder="1" applyAlignment="1">
      <alignment horizontal="center"/>
    </xf>
    <xf numFmtId="0" fontId="3" fillId="13" borderId="57" xfId="7" applyFill="1" applyBorder="1" applyAlignment="1">
      <alignment horizontal="center"/>
    </xf>
    <xf numFmtId="0" fontId="3" fillId="0" borderId="20" xfId="7" applyBorder="1" applyAlignment="1">
      <alignment horizontal="center"/>
    </xf>
    <xf numFmtId="0" fontId="3" fillId="14" borderId="23" xfId="7" applyFill="1" applyBorder="1" applyAlignment="1">
      <alignment horizontal="center"/>
    </xf>
    <xf numFmtId="0" fontId="3" fillId="14" borderId="82" xfId="7" applyFill="1" applyBorder="1" applyAlignment="1">
      <alignment horizontal="center"/>
    </xf>
    <xf numFmtId="0" fontId="3" fillId="0" borderId="1" xfId="7" applyBorder="1" applyAlignment="1">
      <alignment horizontal="center"/>
    </xf>
    <xf numFmtId="0" fontId="3" fillId="0" borderId="3" xfId="7" applyBorder="1" applyAlignment="1">
      <alignment horizontal="center"/>
    </xf>
    <xf numFmtId="0" fontId="8" fillId="0" borderId="33" xfId="7" applyFont="1" applyBorder="1" applyAlignment="1">
      <alignment horizontal="right"/>
    </xf>
    <xf numFmtId="0" fontId="8" fillId="0" borderId="0" xfId="7" applyFont="1" applyAlignment="1">
      <alignment horizontal="right"/>
    </xf>
    <xf numFmtId="0" fontId="3" fillId="13" borderId="29" xfId="7" applyFill="1" applyBorder="1" applyAlignment="1">
      <alignment horizontal="center"/>
    </xf>
    <xf numFmtId="0" fontId="8" fillId="13" borderId="29" xfId="7" applyFont="1" applyFill="1" applyBorder="1" applyAlignment="1">
      <alignment horizontal="right"/>
    </xf>
    <xf numFmtId="0" fontId="53" fillId="0" borderId="0" xfId="0" applyFont="1" applyAlignment="1">
      <alignment horizontal="center"/>
    </xf>
  </cellXfs>
  <cellStyles count="23">
    <cellStyle name="Comma 2" xfId="14" xr:uid="{00000000-0005-0000-0000-000000000000}"/>
    <cellStyle name="Currency" xfId="1" builtinId="4"/>
    <cellStyle name="Currency 2" xfId="5" xr:uid="{00000000-0005-0000-0000-000002000000}"/>
    <cellStyle name="Currency 2 2" xfId="21" xr:uid="{5401F102-0AED-48A3-88D8-5B5876702672}"/>
    <cellStyle name="Currency 2 2 2" xfId="22" xr:uid="{4C862AFB-7B86-449C-9949-6A018C73AEE1}"/>
    <cellStyle name="Currency 3" xfId="11" xr:uid="{00000000-0005-0000-0000-000003000000}"/>
    <cellStyle name="Currency_01 01 RRM Consultant Tender Evaluations N1 South" xfId="13" xr:uid="{00000000-0005-0000-0000-000004000000}"/>
    <cellStyle name="Date" xfId="15" xr:uid="{00000000-0005-0000-0000-000005000000}"/>
    <cellStyle name="Fixed" xfId="16" xr:uid="{00000000-0005-0000-0000-000006000000}"/>
    <cellStyle name="HEADING1" xfId="17" xr:uid="{00000000-0005-0000-0000-000007000000}"/>
    <cellStyle name="HEADING2" xfId="18" xr:uid="{00000000-0005-0000-0000-000008000000}"/>
    <cellStyle name="Normal" xfId="0" builtinId="0"/>
    <cellStyle name="Normal 10 2" xfId="7" xr:uid="{00000000-0005-0000-0000-00000A000000}"/>
    <cellStyle name="Normal 2" xfId="4" xr:uid="{00000000-0005-0000-0000-00000B000000}"/>
    <cellStyle name="Normal 3" xfId="8" xr:uid="{00000000-0005-0000-0000-00000C000000}"/>
    <cellStyle name="Normal 4" xfId="9" xr:uid="{00000000-0005-0000-0000-00000D000000}"/>
    <cellStyle name="Normal 5" xfId="3" xr:uid="{00000000-0005-0000-0000-00000E000000}"/>
    <cellStyle name="Normal 6" xfId="10" xr:uid="{00000000-0005-0000-0000-00000F000000}"/>
    <cellStyle name="Normal 60" xfId="19" xr:uid="{00000000-0005-0000-0000-000010000000}"/>
    <cellStyle name="Normal 68" xfId="20" xr:uid="{00000000-0005-0000-0000-000011000000}"/>
    <cellStyle name="Normal_Payment Certificate Proforma" xfId="12" xr:uid="{00000000-0005-0000-0000-000012000000}"/>
    <cellStyle name="Percent" xfId="2" builtinId="5"/>
    <cellStyle name="Percent 2" xfId="6" xr:uid="{00000000-0005-0000-0000-000014000000}"/>
  </cellStyles>
  <dxfs count="191">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rgb="FFFF0000"/>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s>
  <tableStyles count="0" defaultTableStyle="TableStyleMedium9" defaultPivotStyle="PivotStyleLight16"/>
  <colors>
    <mruColors>
      <color rgb="FFFFFF99"/>
      <color rgb="FFCC66FF"/>
      <color rgb="FFDA9694"/>
      <color rgb="FF00FF00"/>
      <color rgb="FF66FF33"/>
      <color rgb="FFFFFF66"/>
      <color rgb="FFCCCCFF"/>
      <color rgb="FFF20079"/>
      <color rgb="FFCCFFFF"/>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xdr:col>
      <xdr:colOff>308084</xdr:colOff>
      <xdr:row>0</xdr:row>
      <xdr:rowOff>19050</xdr:rowOff>
    </xdr:from>
    <xdr:ext cx="2917722" cy="468013"/>
    <xdr:sp macro="" textlink="">
      <xdr:nvSpPr>
        <xdr:cNvPr id="2" name="Rectangle 1">
          <a:extLst>
            <a:ext uri="{FF2B5EF4-FFF2-40B4-BE49-F238E27FC236}">
              <a16:creationId xmlns:a16="http://schemas.microsoft.com/office/drawing/2014/main" id="{00000000-0008-0000-0400-000002000000}"/>
            </a:ext>
          </a:extLst>
        </xdr:cNvPr>
        <xdr:cNvSpPr/>
      </xdr:nvSpPr>
      <xdr:spPr>
        <a:xfrm>
          <a:off x="3832334" y="215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6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9" name="Picture 4">
          <a:extLst>
            <a:ext uri="{FF2B5EF4-FFF2-40B4-BE49-F238E27FC236}">
              <a16:creationId xmlns:a16="http://schemas.microsoft.com/office/drawing/2014/main" id="{00000000-0008-0000-06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1" name="Picture 10">
          <a:extLst>
            <a:ext uri="{FF2B5EF4-FFF2-40B4-BE49-F238E27FC236}">
              <a16:creationId xmlns:a16="http://schemas.microsoft.com/office/drawing/2014/main" id="{00000000-0008-0000-06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2" name="Picture 4">
          <a:extLst>
            <a:ext uri="{FF2B5EF4-FFF2-40B4-BE49-F238E27FC236}">
              <a16:creationId xmlns:a16="http://schemas.microsoft.com/office/drawing/2014/main" id="{00000000-0008-0000-06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3" name="Picture 2">
          <a:extLst>
            <a:ext uri="{FF2B5EF4-FFF2-40B4-BE49-F238E27FC236}">
              <a16:creationId xmlns:a16="http://schemas.microsoft.com/office/drawing/2014/main" id="{00000000-0008-0000-06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4" name="Picture 4">
          <a:extLst>
            <a:ext uri="{FF2B5EF4-FFF2-40B4-BE49-F238E27FC236}">
              <a16:creationId xmlns:a16="http://schemas.microsoft.com/office/drawing/2014/main" id="{00000000-0008-0000-06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5" name="Picture 4">
          <a:extLst>
            <a:ext uri="{FF2B5EF4-FFF2-40B4-BE49-F238E27FC236}">
              <a16:creationId xmlns:a16="http://schemas.microsoft.com/office/drawing/2014/main" id="{00000000-0008-0000-06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6" name="Picture 4">
          <a:extLst>
            <a:ext uri="{FF2B5EF4-FFF2-40B4-BE49-F238E27FC236}">
              <a16:creationId xmlns:a16="http://schemas.microsoft.com/office/drawing/2014/main" id="{00000000-0008-0000-06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7" name="Picture 4">
          <a:extLst>
            <a:ext uri="{FF2B5EF4-FFF2-40B4-BE49-F238E27FC236}">
              <a16:creationId xmlns:a16="http://schemas.microsoft.com/office/drawing/2014/main" id="{00000000-0008-0000-06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248953</xdr:colOff>
      <xdr:row>0</xdr:row>
      <xdr:rowOff>40820</xdr:rowOff>
    </xdr:from>
    <xdr:to>
      <xdr:col>0</xdr:col>
      <xdr:colOff>1660072</xdr:colOff>
      <xdr:row>3</xdr:row>
      <xdr:rowOff>217971</xdr:rowOff>
    </xdr:to>
    <xdr:pic>
      <xdr:nvPicPr>
        <xdr:cNvPr id="18" name="Picture 17">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2"/>
        <a:stretch>
          <a:fillRect/>
        </a:stretch>
      </xdr:blipFill>
      <xdr:spPr>
        <a:xfrm>
          <a:off x="248953" y="40820"/>
          <a:ext cx="1411119" cy="911937"/>
        </a:xfrm>
        <a:prstGeom prst="rect">
          <a:avLst/>
        </a:prstGeom>
      </xdr:spPr>
    </xdr:pic>
    <xdr:clientData/>
  </xdr:twoCellAnchor>
  <xdr:twoCellAnchor editAs="oneCell">
    <xdr:from>
      <xdr:col>0</xdr:col>
      <xdr:colOff>272143</xdr:colOff>
      <xdr:row>63</xdr:row>
      <xdr:rowOff>27214</xdr:rowOff>
    </xdr:from>
    <xdr:to>
      <xdr:col>0</xdr:col>
      <xdr:colOff>1683262</xdr:colOff>
      <xdr:row>66</xdr:row>
      <xdr:rowOff>204365</xdr:rowOff>
    </xdr:to>
    <xdr:pic>
      <xdr:nvPicPr>
        <xdr:cNvPr id="19" name="Picture 18">
          <a:extLst>
            <a:ext uri="{FF2B5EF4-FFF2-40B4-BE49-F238E27FC236}">
              <a16:creationId xmlns:a16="http://schemas.microsoft.com/office/drawing/2014/main" id="{00000000-0008-0000-0600-000013000000}"/>
            </a:ext>
          </a:extLst>
        </xdr:cNvPr>
        <xdr:cNvPicPr>
          <a:picLocks noChangeAspect="1"/>
        </xdr:cNvPicPr>
      </xdr:nvPicPr>
      <xdr:blipFill>
        <a:blip xmlns:r="http://schemas.openxmlformats.org/officeDocument/2006/relationships" r:embed="rId2"/>
        <a:stretch>
          <a:fillRect/>
        </a:stretch>
      </xdr:blipFill>
      <xdr:spPr>
        <a:xfrm>
          <a:off x="272143" y="15539357"/>
          <a:ext cx="1411119" cy="9119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7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7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7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0" name="Picture 9">
          <a:extLst>
            <a:ext uri="{FF2B5EF4-FFF2-40B4-BE49-F238E27FC236}">
              <a16:creationId xmlns:a16="http://schemas.microsoft.com/office/drawing/2014/main" id="{00000000-0008-0000-07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1" name="Picture 4">
          <a:extLst>
            <a:ext uri="{FF2B5EF4-FFF2-40B4-BE49-F238E27FC236}">
              <a16:creationId xmlns:a16="http://schemas.microsoft.com/office/drawing/2014/main" id="{00000000-0008-0000-07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2" name="Picture 2">
          <a:extLst>
            <a:ext uri="{FF2B5EF4-FFF2-40B4-BE49-F238E27FC236}">
              <a16:creationId xmlns:a16="http://schemas.microsoft.com/office/drawing/2014/main" id="{00000000-0008-0000-07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3" name="Picture 4">
          <a:extLst>
            <a:ext uri="{FF2B5EF4-FFF2-40B4-BE49-F238E27FC236}">
              <a16:creationId xmlns:a16="http://schemas.microsoft.com/office/drawing/2014/main" id="{00000000-0008-0000-07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4" name="Picture 4">
          <a:extLst>
            <a:ext uri="{FF2B5EF4-FFF2-40B4-BE49-F238E27FC236}">
              <a16:creationId xmlns:a16="http://schemas.microsoft.com/office/drawing/2014/main" id="{00000000-0008-0000-07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5" name="Picture 4">
          <a:extLst>
            <a:ext uri="{FF2B5EF4-FFF2-40B4-BE49-F238E27FC236}">
              <a16:creationId xmlns:a16="http://schemas.microsoft.com/office/drawing/2014/main" id="{00000000-0008-0000-07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258533</xdr:colOff>
      <xdr:row>0</xdr:row>
      <xdr:rowOff>40821</xdr:rowOff>
    </xdr:from>
    <xdr:to>
      <xdr:col>0</xdr:col>
      <xdr:colOff>1669652</xdr:colOff>
      <xdr:row>3</xdr:row>
      <xdr:rowOff>217972</xdr:rowOff>
    </xdr:to>
    <xdr:pic>
      <xdr:nvPicPr>
        <xdr:cNvPr id="16" name="Picture 15">
          <a:extLst>
            <a:ext uri="{FF2B5EF4-FFF2-40B4-BE49-F238E27FC236}">
              <a16:creationId xmlns:a16="http://schemas.microsoft.com/office/drawing/2014/main" id="{00000000-0008-0000-0700-000010000000}"/>
            </a:ext>
          </a:extLst>
        </xdr:cNvPr>
        <xdr:cNvPicPr>
          <a:picLocks noChangeAspect="1"/>
        </xdr:cNvPicPr>
      </xdr:nvPicPr>
      <xdr:blipFill>
        <a:blip xmlns:r="http://schemas.openxmlformats.org/officeDocument/2006/relationships" r:embed="rId2"/>
        <a:stretch>
          <a:fillRect/>
        </a:stretch>
      </xdr:blipFill>
      <xdr:spPr>
        <a:xfrm>
          <a:off x="258533" y="40821"/>
          <a:ext cx="1411119" cy="911937"/>
        </a:xfrm>
        <a:prstGeom prst="rect">
          <a:avLst/>
        </a:prstGeom>
      </xdr:spPr>
    </xdr:pic>
    <xdr:clientData/>
  </xdr:twoCellAnchor>
  <xdr:twoCellAnchor editAs="oneCell">
    <xdr:from>
      <xdr:col>0</xdr:col>
      <xdr:colOff>244932</xdr:colOff>
      <xdr:row>63</xdr:row>
      <xdr:rowOff>27214</xdr:rowOff>
    </xdr:from>
    <xdr:to>
      <xdr:col>0</xdr:col>
      <xdr:colOff>1656051</xdr:colOff>
      <xdr:row>66</xdr:row>
      <xdr:rowOff>204365</xdr:rowOff>
    </xdr:to>
    <xdr:pic>
      <xdr:nvPicPr>
        <xdr:cNvPr id="17" name="Picture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2"/>
        <a:stretch>
          <a:fillRect/>
        </a:stretch>
      </xdr:blipFill>
      <xdr:spPr>
        <a:xfrm>
          <a:off x="244932" y="15539357"/>
          <a:ext cx="1411119" cy="9119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8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8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8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9" name="Picture 4">
          <a:extLst>
            <a:ext uri="{FF2B5EF4-FFF2-40B4-BE49-F238E27FC236}">
              <a16:creationId xmlns:a16="http://schemas.microsoft.com/office/drawing/2014/main" id="{00000000-0008-0000-08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10" name="Picture 4">
          <a:extLst>
            <a:ext uri="{FF2B5EF4-FFF2-40B4-BE49-F238E27FC236}">
              <a16:creationId xmlns:a16="http://schemas.microsoft.com/office/drawing/2014/main" id="{00000000-0008-0000-08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11" name="Picture 4">
          <a:extLst>
            <a:ext uri="{FF2B5EF4-FFF2-40B4-BE49-F238E27FC236}">
              <a16:creationId xmlns:a16="http://schemas.microsoft.com/office/drawing/2014/main" id="{00000000-0008-0000-08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12" name="Picture 4">
          <a:extLst>
            <a:ext uri="{FF2B5EF4-FFF2-40B4-BE49-F238E27FC236}">
              <a16:creationId xmlns:a16="http://schemas.microsoft.com/office/drawing/2014/main" id="{00000000-0008-0000-08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4" name="Picture 13">
          <a:extLst>
            <a:ext uri="{FF2B5EF4-FFF2-40B4-BE49-F238E27FC236}">
              <a16:creationId xmlns:a16="http://schemas.microsoft.com/office/drawing/2014/main" id="{00000000-0008-0000-08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5" name="Picture 4">
          <a:extLst>
            <a:ext uri="{FF2B5EF4-FFF2-40B4-BE49-F238E27FC236}">
              <a16:creationId xmlns:a16="http://schemas.microsoft.com/office/drawing/2014/main" id="{00000000-0008-0000-08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6" name="Picture 2">
          <a:extLst>
            <a:ext uri="{FF2B5EF4-FFF2-40B4-BE49-F238E27FC236}">
              <a16:creationId xmlns:a16="http://schemas.microsoft.com/office/drawing/2014/main" id="{00000000-0008-0000-08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7" name="Picture 4">
          <a:extLst>
            <a:ext uri="{FF2B5EF4-FFF2-40B4-BE49-F238E27FC236}">
              <a16:creationId xmlns:a16="http://schemas.microsoft.com/office/drawing/2014/main" id="{00000000-0008-0000-08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8" name="Picture 4">
          <a:extLst>
            <a:ext uri="{FF2B5EF4-FFF2-40B4-BE49-F238E27FC236}">
              <a16:creationId xmlns:a16="http://schemas.microsoft.com/office/drawing/2014/main" id="{00000000-0008-0000-08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9" name="Picture 4">
          <a:extLst>
            <a:ext uri="{FF2B5EF4-FFF2-40B4-BE49-F238E27FC236}">
              <a16:creationId xmlns:a16="http://schemas.microsoft.com/office/drawing/2014/main" id="{00000000-0008-0000-08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20" name="Picture 4">
          <a:extLst>
            <a:ext uri="{FF2B5EF4-FFF2-40B4-BE49-F238E27FC236}">
              <a16:creationId xmlns:a16="http://schemas.microsoft.com/office/drawing/2014/main" id="{00000000-0008-0000-08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21" name="Picture 4">
          <a:extLst>
            <a:ext uri="{FF2B5EF4-FFF2-40B4-BE49-F238E27FC236}">
              <a16:creationId xmlns:a16="http://schemas.microsoft.com/office/drawing/2014/main" id="{00000000-0008-0000-08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22" name="Picture 4">
          <a:extLst>
            <a:ext uri="{FF2B5EF4-FFF2-40B4-BE49-F238E27FC236}">
              <a16:creationId xmlns:a16="http://schemas.microsoft.com/office/drawing/2014/main" id="{00000000-0008-0000-08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23" name="Picture 4">
          <a:extLst>
            <a:ext uri="{FF2B5EF4-FFF2-40B4-BE49-F238E27FC236}">
              <a16:creationId xmlns:a16="http://schemas.microsoft.com/office/drawing/2014/main" id="{00000000-0008-0000-08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299357</xdr:colOff>
      <xdr:row>0</xdr:row>
      <xdr:rowOff>27214</xdr:rowOff>
    </xdr:from>
    <xdr:to>
      <xdr:col>0</xdr:col>
      <xdr:colOff>1710476</xdr:colOff>
      <xdr:row>3</xdr:row>
      <xdr:rowOff>204365</xdr:rowOff>
    </xdr:to>
    <xdr:pic>
      <xdr:nvPicPr>
        <xdr:cNvPr id="24" name="Picture 23">
          <a:extLst>
            <a:ext uri="{FF2B5EF4-FFF2-40B4-BE49-F238E27FC236}">
              <a16:creationId xmlns:a16="http://schemas.microsoft.com/office/drawing/2014/main" id="{00000000-0008-0000-0800-000018000000}"/>
            </a:ext>
          </a:extLst>
        </xdr:cNvPr>
        <xdr:cNvPicPr>
          <a:picLocks noChangeAspect="1"/>
        </xdr:cNvPicPr>
      </xdr:nvPicPr>
      <xdr:blipFill>
        <a:blip xmlns:r="http://schemas.openxmlformats.org/officeDocument/2006/relationships" r:embed="rId2"/>
        <a:stretch>
          <a:fillRect/>
        </a:stretch>
      </xdr:blipFill>
      <xdr:spPr>
        <a:xfrm>
          <a:off x="299357" y="27214"/>
          <a:ext cx="1411119" cy="911937"/>
        </a:xfrm>
        <a:prstGeom prst="rect">
          <a:avLst/>
        </a:prstGeom>
      </xdr:spPr>
    </xdr:pic>
    <xdr:clientData/>
  </xdr:twoCellAnchor>
  <xdr:twoCellAnchor editAs="oneCell">
    <xdr:from>
      <xdr:col>0</xdr:col>
      <xdr:colOff>285747</xdr:colOff>
      <xdr:row>63</xdr:row>
      <xdr:rowOff>27214</xdr:rowOff>
    </xdr:from>
    <xdr:to>
      <xdr:col>0</xdr:col>
      <xdr:colOff>1696866</xdr:colOff>
      <xdr:row>66</xdr:row>
      <xdr:rowOff>204365</xdr:rowOff>
    </xdr:to>
    <xdr:pic>
      <xdr:nvPicPr>
        <xdr:cNvPr id="25" name="Picture 24">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2"/>
        <a:stretch>
          <a:fillRect/>
        </a:stretch>
      </xdr:blipFill>
      <xdr:spPr>
        <a:xfrm>
          <a:off x="285747" y="15539357"/>
          <a:ext cx="1411119" cy="9119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182880</xdr:colOff>
          <xdr:row>0</xdr:row>
          <xdr:rowOff>152400</xdr:rowOff>
        </xdr:from>
        <xdr:to>
          <xdr:col>20</xdr:col>
          <xdr:colOff>220980</xdr:colOff>
          <xdr:row>2</xdr:row>
          <xdr:rowOff>83820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900-000001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RUN SETUP FOR NEXT MONTH</a:t>
              </a:r>
            </a:p>
          </xdr:txBody>
        </xdr:sp>
        <xdr:clientData fLocksWithSheet="0"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66675</xdr:colOff>
      <xdr:row>36</xdr:row>
      <xdr:rowOff>152400</xdr:rowOff>
    </xdr:from>
    <xdr:to>
      <xdr:col>2</xdr:col>
      <xdr:colOff>104775</xdr:colOff>
      <xdr:row>36</xdr:row>
      <xdr:rowOff>152400</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bwMode="auto">
        <a:xfrm>
          <a:off x="66675" y="6981825"/>
          <a:ext cx="1943100" cy="0"/>
        </a:xfrm>
        <a:prstGeom prst="line">
          <a:avLst/>
        </a:prstGeom>
        <a:noFill/>
        <a:ln w="9525">
          <a:solidFill>
            <a:srgbClr val="000000"/>
          </a:solidFill>
          <a:round/>
          <a:headEnd/>
          <a:tailEnd/>
        </a:ln>
      </xdr:spPr>
    </xdr:sp>
    <xdr:clientData/>
  </xdr:twoCellAnchor>
  <xdr:twoCellAnchor>
    <xdr:from>
      <xdr:col>2</xdr:col>
      <xdr:colOff>676275</xdr:colOff>
      <xdr:row>36</xdr:row>
      <xdr:rowOff>142875</xdr:rowOff>
    </xdr:from>
    <xdr:to>
      <xdr:col>3</xdr:col>
      <xdr:colOff>619125</xdr:colOff>
      <xdr:row>36</xdr:row>
      <xdr:rowOff>142875</xdr:rowOff>
    </xdr:to>
    <xdr:sp macro="" textlink="">
      <xdr:nvSpPr>
        <xdr:cNvPr id="3" name="Line 2">
          <a:extLst>
            <a:ext uri="{FF2B5EF4-FFF2-40B4-BE49-F238E27FC236}">
              <a16:creationId xmlns:a16="http://schemas.microsoft.com/office/drawing/2014/main" id="{00000000-0008-0000-0A00-000003000000}"/>
            </a:ext>
          </a:extLst>
        </xdr:cNvPr>
        <xdr:cNvSpPr>
          <a:spLocks noChangeShapeType="1"/>
        </xdr:cNvSpPr>
      </xdr:nvSpPr>
      <xdr:spPr bwMode="auto">
        <a:xfrm>
          <a:off x="2581275" y="6972300"/>
          <a:ext cx="1276350" cy="0"/>
        </a:xfrm>
        <a:prstGeom prst="line">
          <a:avLst/>
        </a:prstGeom>
        <a:noFill/>
        <a:ln w="9525">
          <a:solidFill>
            <a:srgbClr val="000000"/>
          </a:solidFill>
          <a:round/>
          <a:headEnd/>
          <a:tailEnd/>
        </a:ln>
      </xdr:spPr>
    </xdr:sp>
    <xdr:clientData/>
  </xdr:twoCellAnchor>
  <xdr:twoCellAnchor>
    <xdr:from>
      <xdr:col>10</xdr:col>
      <xdr:colOff>1104900</xdr:colOff>
      <xdr:row>36</xdr:row>
      <xdr:rowOff>142875</xdr:rowOff>
    </xdr:from>
    <xdr:to>
      <xdr:col>11</xdr:col>
      <xdr:colOff>1057275</xdr:colOff>
      <xdr:row>36</xdr:row>
      <xdr:rowOff>142875</xdr:rowOff>
    </xdr:to>
    <xdr:sp macro="" textlink="">
      <xdr:nvSpPr>
        <xdr:cNvPr id="4" name="Line 6">
          <a:extLst>
            <a:ext uri="{FF2B5EF4-FFF2-40B4-BE49-F238E27FC236}">
              <a16:creationId xmlns:a16="http://schemas.microsoft.com/office/drawing/2014/main" id="{00000000-0008-0000-0A00-000004000000}"/>
            </a:ext>
          </a:extLst>
        </xdr:cNvPr>
        <xdr:cNvSpPr>
          <a:spLocks noChangeShapeType="1"/>
        </xdr:cNvSpPr>
      </xdr:nvSpPr>
      <xdr:spPr bwMode="auto">
        <a:xfrm>
          <a:off x="10325100" y="6972300"/>
          <a:ext cx="1076325" cy="0"/>
        </a:xfrm>
        <a:prstGeom prst="line">
          <a:avLst/>
        </a:prstGeom>
        <a:noFill/>
        <a:ln w="9525">
          <a:solidFill>
            <a:srgbClr val="000000"/>
          </a:solidFill>
          <a:round/>
          <a:headEnd/>
          <a:tailEnd/>
        </a:ln>
      </xdr:spPr>
    </xdr:sp>
    <xdr:clientData/>
  </xdr:twoCellAnchor>
  <xdr:twoCellAnchor>
    <xdr:from>
      <xdr:col>9</xdr:col>
      <xdr:colOff>47624</xdr:colOff>
      <xdr:row>36</xdr:row>
      <xdr:rowOff>142875</xdr:rowOff>
    </xdr:from>
    <xdr:to>
      <xdr:col>10</xdr:col>
      <xdr:colOff>720924</xdr:colOff>
      <xdr:row>36</xdr:row>
      <xdr:rowOff>142875</xdr:rowOff>
    </xdr:to>
    <xdr:sp macro="" textlink="">
      <xdr:nvSpPr>
        <xdr:cNvPr id="5" name="Line 7">
          <a:extLst>
            <a:ext uri="{FF2B5EF4-FFF2-40B4-BE49-F238E27FC236}">
              <a16:creationId xmlns:a16="http://schemas.microsoft.com/office/drawing/2014/main" id="{00000000-0008-0000-0A00-000005000000}"/>
            </a:ext>
          </a:extLst>
        </xdr:cNvPr>
        <xdr:cNvSpPr>
          <a:spLocks noChangeShapeType="1"/>
        </xdr:cNvSpPr>
      </xdr:nvSpPr>
      <xdr:spPr bwMode="auto">
        <a:xfrm>
          <a:off x="8175624" y="7077075"/>
          <a:ext cx="180360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lippertm/Cons%20Eval/Nov%202025%20-%20New%20consultant%20RRM%20model/WC%20RRM%20Tenders%20-%20Feb%202026/RRM%20Pricing%20Schedule%20Template.xlsm" TargetMode="External"/><Relationship Id="rId2" Type="http://schemas.openxmlformats.org/officeDocument/2006/relationships/externalLinkPath" Target="file:///C:\Users\lippertm\AppData\Roaming\OpenText\OTEdit\EC_edms\c4579788\RRM%20Pricing%20Schedule%20Template.xlsm" TargetMode="External"/><Relationship Id="rId1" Type="http://schemas.openxmlformats.org/officeDocument/2006/relationships/externalLinkPath" Target="/Users/lippertm/Cons%20Eval/Nov%202025%20-%20New%20consultant%20RRM%20model/WC%20RRM%20Tenders%20-%20Feb%202026/RRM%20Pricing%20Schedule%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ENDERER INPUT DATA"/>
      <sheetName val="PROJECT INPUT DATA"/>
      <sheetName val="RRM Pricing Schedule"/>
      <sheetName val="CE &amp; Other Hours"/>
      <sheetName val="FORM C2.4 FIN"/>
      <sheetName val="Notes"/>
      <sheetName val="F1 Forecast Combined"/>
      <sheetName val="F1 Forecast Consultant"/>
      <sheetName val="F1 Forecast Contractor"/>
      <sheetName val="F1  Cover"/>
      <sheetName val="Pg 1 Payment"/>
      <sheetName val="Pg 2 Sum Scheduled"/>
      <sheetName val="Pg 3 Travel"/>
      <sheetName val="Pg 5 Add. Duties"/>
      <sheetName val="Pg 4 P Sums"/>
      <sheetName val="Pg 6 WAF with CPI"/>
      <sheetName val="Pg 7 WAF No CPI"/>
      <sheetName val="Pg 8 Penalties"/>
      <sheetName val="Pg 9 CPI"/>
      <sheetName val="3200"/>
      <sheetName val="3300"/>
      <sheetName val="3400"/>
      <sheetName val="3500"/>
      <sheetName val="3600"/>
      <sheetName val="3700"/>
      <sheetName val="3800"/>
      <sheetName val="Travel Log"/>
      <sheetName val="DATA"/>
    </sheetNames>
    <sheetDataSet>
      <sheetData sheetId="0">
        <row r="32">
          <cell r="D32">
            <v>3534</v>
          </cell>
        </row>
        <row r="33">
          <cell r="D33">
            <v>2796</v>
          </cell>
        </row>
        <row r="34">
          <cell r="D34">
            <v>2403</v>
          </cell>
        </row>
        <row r="35">
          <cell r="D35">
            <v>1167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31C0B-E0E2-4C80-BE44-B42021B6C9B3}">
  <sheetPr codeName="Sheet1">
    <tabColor rgb="FFFF0000"/>
    <pageSetUpPr fitToPage="1"/>
  </sheetPr>
  <dimension ref="A1:H46"/>
  <sheetViews>
    <sheetView topLeftCell="A34" zoomScale="115" zoomScaleNormal="115" workbookViewId="0">
      <selection activeCell="K39" sqref="K39"/>
    </sheetView>
  </sheetViews>
  <sheetFormatPr defaultRowHeight="14.4"/>
  <cols>
    <col min="1" max="1" width="1.5546875" customWidth="1"/>
    <col min="2" max="2" width="14.88671875" customWidth="1"/>
    <col min="3" max="3" width="48.88671875" customWidth="1"/>
    <col min="4" max="4" width="12.21875" customWidth="1"/>
    <col min="5" max="5" width="13.5546875" customWidth="1"/>
    <col min="6" max="7" width="14.5546875" customWidth="1"/>
    <col min="8" max="8" width="17.109375" customWidth="1"/>
  </cols>
  <sheetData>
    <row r="1" spans="1:8" ht="23.4">
      <c r="C1" s="750" t="s">
        <v>577</v>
      </c>
      <c r="D1" s="1069"/>
      <c r="E1" s="1069"/>
      <c r="F1" s="1069"/>
      <c r="G1" s="1069"/>
      <c r="H1" s="1069"/>
    </row>
    <row r="2" spans="1:8" ht="23.4">
      <c r="C2" s="750"/>
      <c r="D2" s="751"/>
      <c r="E2" s="751"/>
      <c r="F2" s="751"/>
      <c r="G2" s="751"/>
      <c r="H2" s="751"/>
    </row>
    <row r="3" spans="1:8" ht="18">
      <c r="B3" s="731" t="s">
        <v>578</v>
      </c>
      <c r="C3" s="885" t="s">
        <v>729</v>
      </c>
      <c r="D3" s="752"/>
      <c r="E3" s="752"/>
      <c r="F3" s="753"/>
      <c r="G3" s="1061" t="s">
        <v>586</v>
      </c>
      <c r="H3" s="1061"/>
    </row>
    <row r="4" spans="1:8" ht="18">
      <c r="B4" s="731"/>
      <c r="C4" s="731"/>
      <c r="D4" s="752"/>
      <c r="E4" s="752"/>
      <c r="F4" s="774" t="str">
        <f>IF(G3="ORIGINAL TENDER","Tender Closing Date:","Revised Tender Closing DATE:")</f>
        <v>Tender Closing Date:</v>
      </c>
      <c r="G4" s="1062" t="s">
        <v>731</v>
      </c>
      <c r="H4" s="1062"/>
    </row>
    <row r="5" spans="1:8" ht="18">
      <c r="B5" s="731"/>
      <c r="D5" s="752"/>
      <c r="E5" s="752"/>
      <c r="F5" s="753"/>
    </row>
    <row r="6" spans="1:8" ht="70.2" customHeight="1">
      <c r="B6" s="731" t="s">
        <v>579</v>
      </c>
      <c r="C6" s="1070" t="s">
        <v>730</v>
      </c>
      <c r="D6" s="1070"/>
      <c r="E6" s="1070"/>
      <c r="F6" s="1070"/>
      <c r="G6" s="1070"/>
      <c r="H6" s="1070"/>
    </row>
    <row r="7" spans="1:8" ht="31.2">
      <c r="A7" s="1"/>
      <c r="B7" s="1071" t="s">
        <v>580</v>
      </c>
      <c r="C7" s="1071"/>
      <c r="D7" s="1071"/>
      <c r="E7" s="1071"/>
      <c r="F7" s="1071"/>
      <c r="G7" s="1071"/>
      <c r="H7" s="1071"/>
    </row>
    <row r="8" spans="1:8" ht="38.25" customHeight="1">
      <c r="A8" s="1"/>
      <c r="B8" s="1072" t="s">
        <v>581</v>
      </c>
      <c r="C8" s="1072"/>
      <c r="D8" s="1072"/>
      <c r="E8" s="1072"/>
      <c r="F8" s="1072"/>
      <c r="G8" s="1072"/>
      <c r="H8" s="1072"/>
    </row>
    <row r="9" spans="1:8" ht="13.5" customHeight="1">
      <c r="A9" s="1"/>
      <c r="B9" s="754"/>
      <c r="C9" s="754"/>
      <c r="D9" s="754"/>
      <c r="E9" s="754"/>
      <c r="F9" s="754"/>
      <c r="G9" s="754"/>
      <c r="H9" s="754"/>
    </row>
    <row r="10" spans="1:8">
      <c r="A10" s="1"/>
      <c r="B10" s="922" t="s">
        <v>664</v>
      </c>
      <c r="C10" s="922"/>
      <c r="D10" s="923"/>
      <c r="E10" s="2"/>
      <c r="F10" s="755"/>
      <c r="G10" s="1"/>
      <c r="H10" s="1"/>
    </row>
    <row r="11" spans="1:8">
      <c r="A11" s="1"/>
      <c r="B11" s="919" t="s">
        <v>582</v>
      </c>
      <c r="C11" s="920"/>
      <c r="D11" s="921"/>
      <c r="E11" s="2"/>
      <c r="F11" s="755"/>
      <c r="G11" s="1"/>
      <c r="H11" s="1"/>
    </row>
    <row r="12" spans="1:8">
      <c r="A12" s="1"/>
      <c r="B12" s="3" t="s">
        <v>0</v>
      </c>
      <c r="C12" s="3"/>
      <c r="D12" s="609"/>
      <c r="E12" s="609"/>
      <c r="F12" s="756"/>
      <c r="G12" s="3"/>
      <c r="H12" s="3"/>
    </row>
    <row r="13" spans="1:8" ht="15" thickBot="1">
      <c r="A13" s="1"/>
      <c r="B13" s="1"/>
      <c r="C13" s="1"/>
      <c r="D13" s="2"/>
      <c r="E13" s="2"/>
      <c r="F13" s="757"/>
      <c r="G13" s="1"/>
      <c r="H13" s="1"/>
    </row>
    <row r="14" spans="1:8" ht="15" thickBot="1">
      <c r="A14" s="1"/>
      <c r="B14" s="1073" t="s">
        <v>455</v>
      </c>
      <c r="C14" s="1074"/>
      <c r="D14" s="1074"/>
      <c r="E14" s="1074"/>
      <c r="F14" s="1074"/>
      <c r="G14" s="1075"/>
      <c r="H14" s="758"/>
    </row>
    <row r="15" spans="1:8">
      <c r="A15" s="1"/>
      <c r="B15" s="6" t="s">
        <v>25</v>
      </c>
      <c r="C15" s="5" t="s">
        <v>49</v>
      </c>
      <c r="D15" s="1067" t="s">
        <v>457</v>
      </c>
      <c r="E15" s="1067"/>
      <c r="F15" s="1067"/>
      <c r="G15" s="1068"/>
      <c r="H15" s="759"/>
    </row>
    <row r="16" spans="1:8" ht="24" customHeight="1">
      <c r="A16" s="1"/>
      <c r="B16" s="760" t="s">
        <v>6</v>
      </c>
      <c r="C16" s="761"/>
      <c r="D16" s="1063" t="s">
        <v>7</v>
      </c>
      <c r="E16" s="1063"/>
      <c r="F16" s="1063"/>
      <c r="G16" s="1064"/>
      <c r="H16" s="759"/>
    </row>
    <row r="17" spans="1:8" ht="24" customHeight="1" thickBot="1">
      <c r="A17" s="1"/>
      <c r="B17" s="8" t="s">
        <v>666</v>
      </c>
      <c r="C17" s="762" t="s">
        <v>667</v>
      </c>
      <c r="D17" s="1065" t="s">
        <v>668</v>
      </c>
      <c r="E17" s="1065"/>
      <c r="F17" s="1065"/>
      <c r="G17" s="1066"/>
      <c r="H17" s="759"/>
    </row>
    <row r="18" spans="1:8">
      <c r="A18" s="1"/>
      <c r="B18" s="2"/>
      <c r="C18" s="764"/>
      <c r="D18" s="4"/>
      <c r="E18" s="4"/>
      <c r="F18" s="4"/>
      <c r="G18" s="4"/>
      <c r="H18" s="759"/>
    </row>
    <row r="19" spans="1:8">
      <c r="A19" s="1"/>
      <c r="B19" s="2"/>
      <c r="C19" s="998" t="s">
        <v>682</v>
      </c>
      <c r="D19" s="4"/>
      <c r="E19" s="4"/>
      <c r="F19" s="4"/>
      <c r="G19" s="815" t="s">
        <v>721</v>
      </c>
      <c r="H19" s="1015" t="s">
        <v>720</v>
      </c>
    </row>
    <row r="20" spans="1:8">
      <c r="A20" s="1"/>
      <c r="B20" s="2"/>
      <c r="C20" s="764"/>
      <c r="D20" s="4"/>
      <c r="E20" s="4"/>
      <c r="F20" s="4"/>
      <c r="G20" s="815"/>
      <c r="H20" s="1017"/>
    </row>
    <row r="21" spans="1:8" ht="15" hidden="1" thickBot="1">
      <c r="A21" s="1"/>
      <c r="B21" s="2"/>
      <c r="C21" s="764"/>
      <c r="D21" s="1060"/>
      <c r="E21" s="1060"/>
      <c r="F21" s="1060"/>
      <c r="G21" s="1060"/>
      <c r="H21" s="759"/>
    </row>
    <row r="22" spans="1:8" ht="15" hidden="1" thickBot="1">
      <c r="A22" s="1"/>
      <c r="B22" s="2"/>
      <c r="C22" s="764"/>
      <c r="D22" s="1060"/>
      <c r="E22" s="1060"/>
      <c r="F22" s="1060"/>
      <c r="G22" s="1060"/>
      <c r="H22" s="759"/>
    </row>
    <row r="23" spans="1:8" ht="15" hidden="1" thickBot="1">
      <c r="A23" s="1"/>
      <c r="B23" s="2"/>
      <c r="C23" s="764"/>
      <c r="D23" s="1060"/>
      <c r="E23" s="1060"/>
      <c r="F23" s="1060"/>
      <c r="G23" s="1060"/>
      <c r="H23" s="759"/>
    </row>
    <row r="24" spans="1:8" ht="15" hidden="1" thickBot="1">
      <c r="A24" s="1"/>
      <c r="B24" s="2"/>
      <c r="C24" s="764"/>
      <c r="D24" s="1060"/>
      <c r="E24" s="1060"/>
      <c r="F24" s="1060"/>
      <c r="G24" s="1060"/>
      <c r="H24" s="759"/>
    </row>
    <row r="25" spans="1:8" ht="15" hidden="1" thickBot="1">
      <c r="A25" s="1"/>
      <c r="B25" s="2"/>
      <c r="C25" s="764"/>
      <c r="D25" s="1060"/>
      <c r="E25" s="1060"/>
      <c r="F25" s="1060"/>
      <c r="G25" s="1060"/>
      <c r="H25" s="759"/>
    </row>
    <row r="26" spans="1:8" ht="15" hidden="1" thickBot="1">
      <c r="A26" s="1"/>
      <c r="B26" s="2"/>
      <c r="C26" s="764"/>
      <c r="D26" s="1060"/>
      <c r="E26" s="1060"/>
      <c r="F26" s="1060"/>
      <c r="G26" s="1060"/>
      <c r="H26" s="759"/>
    </row>
    <row r="27" spans="1:8" ht="15" hidden="1" thickBot="1">
      <c r="A27" s="1"/>
      <c r="B27" s="2"/>
      <c r="C27" s="764"/>
      <c r="D27" s="1060"/>
      <c r="E27" s="1060"/>
      <c r="F27" s="1060"/>
      <c r="G27" s="1060"/>
      <c r="H27" s="759"/>
    </row>
    <row r="28" spans="1:8" ht="15" hidden="1" thickBot="1">
      <c r="A28" s="1"/>
      <c r="B28" s="2"/>
      <c r="C28" s="764"/>
      <c r="D28" s="1060"/>
      <c r="E28" s="1060"/>
      <c r="F28" s="1060"/>
      <c r="G28" s="1060"/>
      <c r="H28" s="759"/>
    </row>
    <row r="29" spans="1:8" ht="15" hidden="1" thickBot="1">
      <c r="A29" s="1"/>
      <c r="B29" s="2"/>
      <c r="C29" s="764"/>
      <c r="D29" s="1060"/>
      <c r="E29" s="1060"/>
      <c r="F29" s="1060"/>
      <c r="G29" s="1060"/>
      <c r="H29" s="759"/>
    </row>
    <row r="30" spans="1:8" ht="15" hidden="1" thickBot="1">
      <c r="A30" s="1"/>
      <c r="B30" s="2"/>
      <c r="C30" s="764"/>
      <c r="D30" s="1060"/>
      <c r="E30" s="1060"/>
      <c r="F30" s="1060"/>
      <c r="G30" s="1060"/>
      <c r="H30" s="759"/>
    </row>
    <row r="31" spans="1:8" ht="15" customHeight="1" thickBot="1">
      <c r="A31" s="1"/>
      <c r="B31" s="2"/>
      <c r="C31" s="765" t="s">
        <v>356</v>
      </c>
      <c r="D31" s="765" t="s">
        <v>23</v>
      </c>
      <c r="E31" s="766"/>
    </row>
    <row r="32" spans="1:8" ht="15" customHeight="1" thickBot="1">
      <c r="A32" s="1"/>
      <c r="B32" s="4"/>
      <c r="C32" s="767" t="s">
        <v>19</v>
      </c>
      <c r="D32" s="886">
        <v>3534</v>
      </c>
      <c r="E32" s="768"/>
      <c r="F32" s="1047" t="s">
        <v>717</v>
      </c>
      <c r="G32" s="1048"/>
      <c r="H32" s="1049"/>
    </row>
    <row r="33" spans="2:8">
      <c r="B33" s="769"/>
      <c r="C33" s="767" t="s">
        <v>20</v>
      </c>
      <c r="D33" s="886">
        <v>2796</v>
      </c>
      <c r="F33" s="1050" t="s">
        <v>723</v>
      </c>
      <c r="G33" s="1051"/>
      <c r="H33" s="1052"/>
    </row>
    <row r="34" spans="2:8">
      <c r="C34" s="767" t="s">
        <v>21</v>
      </c>
      <c r="D34" s="886">
        <v>2403</v>
      </c>
      <c r="F34" s="1053"/>
      <c r="G34" s="1054"/>
      <c r="H34" s="1055"/>
    </row>
    <row r="35" spans="2:8" ht="15" thickBot="1">
      <c r="C35" s="767" t="s">
        <v>22</v>
      </c>
      <c r="D35" s="886">
        <v>1167</v>
      </c>
      <c r="F35" s="1011" t="s">
        <v>708</v>
      </c>
      <c r="G35" s="1012" t="s">
        <v>709</v>
      </c>
      <c r="H35" s="1012" t="s">
        <v>710</v>
      </c>
    </row>
    <row r="36" spans="2:8">
      <c r="C36" s="770" t="s">
        <v>583</v>
      </c>
      <c r="F36" s="1013" t="s">
        <v>711</v>
      </c>
      <c r="G36" s="1014" t="s">
        <v>711</v>
      </c>
      <c r="H36" s="1014" t="s">
        <v>711</v>
      </c>
    </row>
    <row r="37" spans="2:8" ht="15" thickBot="1">
      <c r="F37" s="1011" t="s">
        <v>712</v>
      </c>
      <c r="G37" s="1012" t="s">
        <v>713</v>
      </c>
      <c r="H37" s="1012" t="s">
        <v>714</v>
      </c>
    </row>
    <row r="38" spans="2:8" ht="15" thickBot="1">
      <c r="C38" s="767" t="s">
        <v>378</v>
      </c>
      <c r="D38" s="887">
        <v>1</v>
      </c>
      <c r="F38" s="1047" t="s">
        <v>715</v>
      </c>
      <c r="G38" s="1048"/>
      <c r="H38" s="1049"/>
    </row>
    <row r="39" spans="2:8" ht="14.4" customHeight="1" thickBot="1">
      <c r="C39" s="771" t="s">
        <v>395</v>
      </c>
      <c r="D39" s="888">
        <v>150000</v>
      </c>
      <c r="F39" s="1056" t="s">
        <v>716</v>
      </c>
      <c r="G39" s="1057"/>
      <c r="H39" s="1058"/>
    </row>
    <row r="40" spans="2:8" ht="14.4" customHeight="1">
      <c r="C40" s="771" t="s">
        <v>584</v>
      </c>
      <c r="D40" s="772">
        <v>0.15</v>
      </c>
      <c r="F40" s="1059" t="s">
        <v>718</v>
      </c>
      <c r="G40" s="1059" t="s">
        <v>725</v>
      </c>
      <c r="H40" s="1059" t="s">
        <v>725</v>
      </c>
    </row>
    <row r="41" spans="2:8">
      <c r="F41" s="1045"/>
      <c r="G41" s="1045"/>
      <c r="H41" s="1045"/>
    </row>
    <row r="42" spans="2:8">
      <c r="F42" s="1045"/>
      <c r="G42" s="1045"/>
      <c r="H42" s="1045"/>
    </row>
    <row r="43" spans="2:8" ht="14.4" customHeight="1">
      <c r="C43" s="773" t="s">
        <v>585</v>
      </c>
      <c r="D43" s="887">
        <v>3000</v>
      </c>
      <c r="F43" s="1045" t="s">
        <v>719</v>
      </c>
      <c r="G43" s="1045"/>
      <c r="H43" s="1045"/>
    </row>
    <row r="44" spans="2:8">
      <c r="C44" s="773" t="str">
        <f>"Payment for kilometers per person over " &amp;D43 &amp;" km per month"</f>
        <v>Payment for kilometers per person over 3000 km per month</v>
      </c>
      <c r="D44" s="889">
        <v>0.6</v>
      </c>
      <c r="F44" s="1045"/>
      <c r="G44" s="1045"/>
      <c r="H44" s="1045"/>
    </row>
    <row r="45" spans="2:8">
      <c r="F45" s="1045"/>
      <c r="G45" s="1045"/>
      <c r="H45" s="1045"/>
    </row>
    <row r="46" spans="2:8" ht="15" thickBot="1">
      <c r="C46" s="773" t="s">
        <v>618</v>
      </c>
      <c r="D46" s="887">
        <v>60</v>
      </c>
      <c r="F46" s="1046"/>
      <c r="G46" s="1046"/>
      <c r="H46" s="1046"/>
    </row>
  </sheetData>
  <sheetProtection algorithmName="SHA-512" hashValue="h2l/i/eHE7V/xOMZ2bOkF9N1XiAwxtCVHWsPZmOCkDic9N1DB0OKNh3FR8kCOauJXMBJYbynTPH7cnK4F514XA==" saltValue="w58vTDNarXiFivg2j2fj3w==" spinCount="100000" sheet="1" objects="1" scenarios="1"/>
  <mergeCells count="28">
    <mergeCell ref="D1:H1"/>
    <mergeCell ref="C6:H6"/>
    <mergeCell ref="B7:H7"/>
    <mergeCell ref="B8:H8"/>
    <mergeCell ref="B14:G14"/>
    <mergeCell ref="D30:G30"/>
    <mergeCell ref="G3:H3"/>
    <mergeCell ref="G4:H4"/>
    <mergeCell ref="D24:G24"/>
    <mergeCell ref="D25:G25"/>
    <mergeCell ref="D26:G26"/>
    <mergeCell ref="D27:G27"/>
    <mergeCell ref="D28:G28"/>
    <mergeCell ref="D29:G29"/>
    <mergeCell ref="D16:G16"/>
    <mergeCell ref="D17:G17"/>
    <mergeCell ref="D21:G21"/>
    <mergeCell ref="D22:G22"/>
    <mergeCell ref="D23:G23"/>
    <mergeCell ref="D15:G15"/>
    <mergeCell ref="F43:F46"/>
    <mergeCell ref="F38:H38"/>
    <mergeCell ref="F32:H32"/>
    <mergeCell ref="F33:H34"/>
    <mergeCell ref="F39:H39"/>
    <mergeCell ref="F40:F42"/>
    <mergeCell ref="H40:H46"/>
    <mergeCell ref="G40:G46"/>
  </mergeCells>
  <conditionalFormatting sqref="B16:B17">
    <cfRule type="containsBlanks" dxfId="144" priority="8">
      <formula>LEN(TRIM(B16))=0</formula>
    </cfRule>
  </conditionalFormatting>
  <conditionalFormatting sqref="C16:C17">
    <cfRule type="expression" dxfId="143" priority="7">
      <formula>B16=""</formula>
    </cfRule>
  </conditionalFormatting>
  <conditionalFormatting sqref="D38">
    <cfRule type="cellIs" dxfId="142" priority="5" operator="equal">
      <formula>"None"</formula>
    </cfRule>
  </conditionalFormatting>
  <conditionalFormatting sqref="D16:G17">
    <cfRule type="expression" dxfId="141" priority="6">
      <formula>B16=""</formula>
    </cfRule>
  </conditionalFormatting>
  <conditionalFormatting sqref="D43:D44">
    <cfRule type="cellIs" dxfId="140" priority="4" operator="equal">
      <formula>"None"</formula>
    </cfRule>
  </conditionalFormatting>
  <conditionalFormatting sqref="D46">
    <cfRule type="cellIs" dxfId="139" priority="3" operator="equal">
      <formula>"None"</formula>
    </cfRule>
  </conditionalFormatting>
  <dataValidations count="1">
    <dataValidation type="list" allowBlank="1" showInputMessage="1" showErrorMessage="1" sqref="H19" xr:uid="{D26A35A5-070E-4419-81E8-42391F9E26D4}">
      <formula1>"Please Select, EME,QSE,Generic"</formula1>
    </dataValidation>
  </dataValidations>
  <pageMargins left="0.70866141732283472" right="0.70866141732283472" top="0.74803149606299213" bottom="0.74803149606299213" header="0.31496062992125984" footer="0.31496062992125984"/>
  <pageSetup paperSize="9" scale="76"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42D0C66B-0AB8-439D-8BF2-1A22B0A97AAB}">
          <x14:formula1>
            <xm:f>DATA!$K$3:$K$13</xm:f>
          </x14:formula1>
          <xm:sqref>G3:H3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7">
    <tabColor theme="1"/>
    <pageSetUpPr fitToPage="1"/>
  </sheetPr>
  <dimension ref="B1:D26"/>
  <sheetViews>
    <sheetView workbookViewId="0">
      <selection activeCell="D1" sqref="D1"/>
    </sheetView>
  </sheetViews>
  <sheetFormatPr defaultColWidth="9.109375" defaultRowHeight="14.4"/>
  <cols>
    <col min="1" max="1" width="1.5546875" style="1" customWidth="1"/>
    <col min="2" max="2" width="13.5546875" style="1" customWidth="1"/>
    <col min="3" max="3" width="48.88671875" style="1" customWidth="1"/>
    <col min="4" max="4" width="50.77734375" style="1" customWidth="1"/>
    <col min="5" max="16384" width="9.109375" style="1"/>
  </cols>
  <sheetData>
    <row r="1" spans="2:4" ht="31.2">
      <c r="C1" s="891" t="s">
        <v>576</v>
      </c>
      <c r="D1" s="892" t="s">
        <v>663</v>
      </c>
    </row>
    <row r="2" spans="2:4">
      <c r="C2" s="893" t="str">
        <f>'TENDERER INPUT DATA'!$G$3</f>
        <v>ORIGINAL TENDER</v>
      </c>
      <c r="D2" s="2"/>
    </row>
    <row r="3" spans="2:4" ht="18">
      <c r="C3" s="894" t="s">
        <v>560</v>
      </c>
      <c r="D3" s="895" t="str">
        <f>IF('TENDERER INPUT DATA'!C3="","INSERT PROJECT NUMBER ON TENDERER INPUT DATA TAB",'TENDERER INPUT DATA'!C3)</f>
        <v>X.002-180-2024/1RF</v>
      </c>
    </row>
    <row r="4" spans="2:4" ht="18">
      <c r="C4" s="894"/>
      <c r="D4" s="731"/>
    </row>
    <row r="5" spans="2:4" ht="70.5" customHeight="1">
      <c r="B5" s="890"/>
      <c r="C5" s="894" t="s">
        <v>559</v>
      </c>
      <c r="D5" s="896" t="str">
        <f>IF('TENDERER INPUT DATA'!C6="","INSERT PROJECT DESCRIPTION ON TENDERER INPUT DATA TAB",'TENDERER INPUT DATA'!C6)</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row>
    <row r="6" spans="2:4">
      <c r="B6" s="610"/>
      <c r="C6" s="610"/>
      <c r="D6" s="2"/>
    </row>
    <row r="7" spans="2:4" ht="21">
      <c r="C7" s="894" t="s">
        <v>561</v>
      </c>
      <c r="D7" s="897" t="str">
        <f>IF('TENDERER INPUT DATA'!D1="","",'TENDERER INPUT DATA'!D1)</f>
        <v/>
      </c>
    </row>
    <row r="9" spans="2:4" ht="23.4">
      <c r="C9" s="894" t="s">
        <v>562</v>
      </c>
      <c r="D9" s="898">
        <f>'TENDERER INPUT DATA'!D40</f>
        <v>0.15</v>
      </c>
    </row>
    <row r="11" spans="2:4" ht="23.4">
      <c r="C11" s="894" t="s">
        <v>563</v>
      </c>
      <c r="D11" s="899" t="str">
        <f>'TENDERER INPUT DATA'!G4</f>
        <v>30/09/2026</v>
      </c>
    </row>
    <row r="13" spans="2:4" ht="23.4">
      <c r="C13" s="894" t="s">
        <v>565</v>
      </c>
      <c r="D13" s="900">
        <v>45433</v>
      </c>
    </row>
    <row r="15" spans="2:4" ht="23.4">
      <c r="C15" s="894" t="s">
        <v>566</v>
      </c>
      <c r="D15" s="901"/>
    </row>
    <row r="16" spans="2:4" ht="23.4">
      <c r="C16" s="894"/>
      <c r="D16" s="902"/>
    </row>
    <row r="17" spans="2:4" ht="23.4">
      <c r="C17" s="894" t="s">
        <v>570</v>
      </c>
      <c r="D17" s="903">
        <f>'TENDERER INPUT DATA'!D39</f>
        <v>150000</v>
      </c>
    </row>
    <row r="18" spans="2:4">
      <c r="B18" s="4"/>
      <c r="C18" s="4"/>
      <c r="D18" s="4"/>
    </row>
    <row r="19" spans="2:4">
      <c r="B19" s="3" t="s">
        <v>0</v>
      </c>
      <c r="C19" s="3"/>
      <c r="D19" s="609"/>
    </row>
    <row r="20" spans="2:4" ht="15" thickBot="1">
      <c r="D20" s="2"/>
    </row>
    <row r="21" spans="2:4" ht="15" thickBot="1">
      <c r="B21" s="1073" t="s">
        <v>455</v>
      </c>
      <c r="C21" s="1074"/>
      <c r="D21" s="1075"/>
    </row>
    <row r="22" spans="2:4" ht="28.8">
      <c r="B22" s="6" t="s">
        <v>25</v>
      </c>
      <c r="C22" s="5" t="s">
        <v>49</v>
      </c>
      <c r="D22" s="904" t="s">
        <v>457</v>
      </c>
    </row>
    <row r="23" spans="2:4">
      <c r="B23" s="7" t="str">
        <f>'TENDERER INPUT DATA'!B16</f>
        <v>CE</v>
      </c>
      <c r="C23" s="905" t="str">
        <f>IF('TENDERER INPUT DATA'!C16="","",'TENDERER INPUT DATA'!C16)</f>
        <v/>
      </c>
      <c r="D23" s="906" t="str">
        <f>'TENDERER INPUT DATA'!D16</f>
        <v>Contracts Engineer</v>
      </c>
    </row>
    <row r="24" spans="2:4">
      <c r="B24" s="7" t="str">
        <f>IF('TENDERER INPUT DATA'!B17="","",'TENDERER INPUT DATA'!B17)</f>
        <v>OTHER</v>
      </c>
      <c r="C24" s="907" t="str">
        <f>IF('TENDERER INPUT DATA'!C17="","",'TENDERER INPUT DATA'!C17)</f>
        <v>NO NAMES REQUIRED</v>
      </c>
      <c r="D24" s="906" t="str">
        <f>IF('TENDERER INPUT DATA'!D17="","",'TENDERER INPUT DATA'!D17)</f>
        <v>Personnel associated with fulfilling the duties of the Engineer</v>
      </c>
    </row>
    <row r="25" spans="2:4">
      <c r="B25" s="7"/>
      <c r="C25" s="907"/>
      <c r="D25" s="906"/>
    </row>
    <row r="26" spans="2:4" ht="15" thickBot="1">
      <c r="B26" s="8"/>
      <c r="C26" s="908"/>
      <c r="D26" s="909"/>
    </row>
  </sheetData>
  <sheetProtection algorithmName="SHA-512" hashValue="fp+lWsfPk/HBVBQBjsFAPkxDaolJBNg/yISOas1yzlsjjyJmejFU4Jgydlr1poTookzJDrJaPYhmINemlyfH7Q==" saltValue="siuXjaQnBUAelZ7GnNpO0A==" spinCount="100000" sheet="1" objects="1" scenarios="1"/>
  <mergeCells count="1">
    <mergeCell ref="B21:D21"/>
  </mergeCells>
  <conditionalFormatting sqref="B23:B26">
    <cfRule type="containsBlanks" dxfId="138" priority="97">
      <formula>LEN(TRIM(B23))=0</formula>
    </cfRule>
  </conditionalFormatting>
  <conditionalFormatting sqref="C23">
    <cfRule type="expression" dxfId="137" priority="96">
      <formula>B23=""</formula>
    </cfRule>
  </conditionalFormatting>
  <conditionalFormatting sqref="C24">
    <cfRule type="expression" dxfId="136" priority="95">
      <formula>B24=""</formula>
    </cfRule>
  </conditionalFormatting>
  <conditionalFormatting sqref="C25">
    <cfRule type="expression" dxfId="135" priority="94">
      <formula>B25=""</formula>
    </cfRule>
  </conditionalFormatting>
  <conditionalFormatting sqref="C26">
    <cfRule type="expression" dxfId="134" priority="93">
      <formula>B26=""</formula>
    </cfRule>
  </conditionalFormatting>
  <conditionalFormatting sqref="D23:D26">
    <cfRule type="expression" dxfId="133" priority="20">
      <formula>B23=""</formula>
    </cfRule>
  </conditionalFormatting>
  <pageMargins left="0.70866141732283472" right="0.70866141732283472" top="0.74803149606299213" bottom="0.74803149606299213" header="0.31496062992125984" footer="0.31496062992125984"/>
  <pageSetup paperSize="9" scale="95" orientation="landscape" r:id="rId1"/>
  <headerFooter>
    <oddHeader>&amp;L&amp;"Calibri"&amp;10&amp;K000000 Sensitivity - General&amp;1#_x000D_</oddHead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48">
    <tabColor rgb="FFCCCCFF"/>
    <pageSetUpPr fitToPage="1"/>
  </sheetPr>
  <dimension ref="A1:F165"/>
  <sheetViews>
    <sheetView view="pageBreakPreview" topLeftCell="A14" zoomScale="115" zoomScaleNormal="120" zoomScaleSheetLayoutView="115" workbookViewId="0">
      <selection activeCell="D32" sqref="D32"/>
    </sheetView>
  </sheetViews>
  <sheetFormatPr defaultColWidth="9.109375" defaultRowHeight="13.2"/>
  <cols>
    <col min="1" max="1" width="7.5546875" style="628" customWidth="1"/>
    <col min="2" max="2" width="44.109375" style="628" customWidth="1"/>
    <col min="3" max="3" width="13.6640625" style="628" customWidth="1"/>
    <col min="4" max="4" width="15.6640625" style="627" customWidth="1"/>
    <col min="5" max="5" width="14.6640625" style="627" customWidth="1"/>
    <col min="6" max="6" width="15.77734375" style="627" customWidth="1"/>
    <col min="7" max="16384" width="9.109375" style="628"/>
  </cols>
  <sheetData>
    <row r="1" spans="1:6" ht="13.8">
      <c r="A1" s="1027" t="s">
        <v>26</v>
      </c>
      <c r="B1" s="1027"/>
      <c r="C1" s="1027"/>
      <c r="F1" s="884" t="str">
        <f>'TENDERER INPUT DATA'!$G$3</f>
        <v>ORIGINAL TENDER</v>
      </c>
    </row>
    <row r="2" spans="1:6" ht="13.8">
      <c r="A2" s="629"/>
      <c r="B2" s="629"/>
      <c r="C2" s="629"/>
    </row>
    <row r="3" spans="1:6" ht="34.5" customHeight="1">
      <c r="A3" s="1028" t="s">
        <v>476</v>
      </c>
      <c r="B3" s="1028"/>
      <c r="C3" s="1029" t="str">
        <f>'PROJECT INPUT DATA'!D3</f>
        <v>X.002-180-2024/1RF</v>
      </c>
      <c r="D3" s="1029"/>
      <c r="E3" s="1029"/>
    </row>
    <row r="4" spans="1:6">
      <c r="A4" s="748"/>
      <c r="B4" s="748"/>
      <c r="C4" s="749"/>
      <c r="D4" s="749"/>
      <c r="E4" s="749"/>
    </row>
    <row r="5" spans="1:6" ht="29.25" customHeight="1">
      <c r="A5" s="1030" t="str">
        <f>'PROJECT INPUT DATA'!D5</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B5" s="1030"/>
      <c r="C5" s="1030"/>
      <c r="D5" s="1030"/>
      <c r="E5" s="1030"/>
      <c r="F5" s="1030"/>
    </row>
    <row r="7" spans="1:6" ht="25.2" customHeight="1">
      <c r="B7" s="775" t="s">
        <v>599</v>
      </c>
      <c r="C7" s="1035" t="str">
        <f>IF('TENDERER INPUT DATA'!D1="","Please Insert Tenderer Name on TENDERER INPUT DATA TAB",'TENDERER INPUT DATA'!D1)</f>
        <v>Please Insert Tenderer Name on TENDERER INPUT DATA TAB</v>
      </c>
      <c r="D7" s="1035"/>
      <c r="E7" s="1035"/>
      <c r="F7" s="1035"/>
    </row>
    <row r="8" spans="1:6" ht="55.8" customHeight="1">
      <c r="A8" s="1030" t="s">
        <v>600</v>
      </c>
      <c r="B8" s="1030"/>
      <c r="C8" s="1030"/>
      <c r="D8" s="1030"/>
      <c r="E8" s="1030"/>
      <c r="F8" s="1030"/>
    </row>
    <row r="10" spans="1:6">
      <c r="A10" s="630" t="s">
        <v>477</v>
      </c>
      <c r="B10" s="630" t="s">
        <v>478</v>
      </c>
      <c r="D10" s="1024"/>
    </row>
    <row r="11" spans="1:6" ht="13.8" thickBot="1"/>
    <row r="12" spans="1:6" ht="13.8" thickBot="1">
      <c r="A12" s="631" t="s">
        <v>479</v>
      </c>
      <c r="B12" s="632" t="s">
        <v>0</v>
      </c>
      <c r="C12" s="633" t="s">
        <v>1</v>
      </c>
      <c r="D12" s="633" t="s">
        <v>2</v>
      </c>
      <c r="E12" s="634" t="s">
        <v>3</v>
      </c>
      <c r="F12" s="635" t="s">
        <v>480</v>
      </c>
    </row>
    <row r="13" spans="1:6" ht="13.8" thickBot="1">
      <c r="A13" s="636">
        <v>3200</v>
      </c>
      <c r="B13" s="637" t="s">
        <v>481</v>
      </c>
      <c r="C13" s="638"/>
      <c r="D13" s="638"/>
      <c r="E13" s="638"/>
      <c r="F13" s="638"/>
    </row>
    <row r="14" spans="1:6">
      <c r="A14" s="639">
        <v>32.01</v>
      </c>
      <c r="B14" s="640" t="s">
        <v>482</v>
      </c>
      <c r="C14" s="641"/>
      <c r="D14" s="641"/>
      <c r="E14" s="641"/>
      <c r="F14" s="641"/>
    </row>
    <row r="15" spans="1:6" ht="26.4">
      <c r="A15" s="1031"/>
      <c r="B15" s="642" t="s">
        <v>700</v>
      </c>
      <c r="C15" s="643" t="s">
        <v>103</v>
      </c>
      <c r="D15" s="644">
        <v>1</v>
      </c>
      <c r="E15" s="1002">
        <f>'CE &amp; Other Hours'!D27</f>
        <v>0</v>
      </c>
      <c r="F15" s="646">
        <f>E15*D15</f>
        <v>0</v>
      </c>
    </row>
    <row r="16" spans="1:6">
      <c r="A16" s="1032"/>
      <c r="B16" s="642" t="s">
        <v>483</v>
      </c>
      <c r="C16" s="643" t="s">
        <v>103</v>
      </c>
      <c r="D16" s="644">
        <v>1</v>
      </c>
      <c r="E16" s="645"/>
      <c r="F16" s="646">
        <f t="shared" ref="F16:F18" si="0">E16*D16</f>
        <v>0</v>
      </c>
    </row>
    <row r="17" spans="1:6">
      <c r="A17" s="1032"/>
      <c r="B17" s="647" t="s">
        <v>472</v>
      </c>
      <c r="C17" s="648" t="s">
        <v>484</v>
      </c>
      <c r="D17" s="649">
        <v>1</v>
      </c>
      <c r="E17" s="650">
        <v>1000</v>
      </c>
      <c r="F17" s="651">
        <f>E17</f>
        <v>1000</v>
      </c>
    </row>
    <row r="18" spans="1:6" ht="13.8" thickBot="1">
      <c r="A18" s="652">
        <v>32.020000000000003</v>
      </c>
      <c r="B18" s="653" t="s">
        <v>95</v>
      </c>
      <c r="C18" s="654" t="s">
        <v>103</v>
      </c>
      <c r="D18" s="654">
        <v>1</v>
      </c>
      <c r="E18" s="655"/>
      <c r="F18" s="656">
        <f t="shared" si="0"/>
        <v>0</v>
      </c>
    </row>
    <row r="19" spans="1:6" ht="14.4">
      <c r="A19" s="939">
        <v>32.03</v>
      </c>
      <c r="B19" s="940" t="s">
        <v>683</v>
      </c>
      <c r="C19" s="941"/>
      <c r="D19" s="944"/>
      <c r="E19" s="944"/>
      <c r="F19" s="944"/>
    </row>
    <row r="20" spans="1:6" ht="14.4">
      <c r="A20" s="953"/>
      <c r="B20" s="937" t="s">
        <v>684</v>
      </c>
      <c r="C20" s="945" t="s">
        <v>484</v>
      </c>
      <c r="D20" s="946">
        <v>1</v>
      </c>
      <c r="E20" s="705">
        <v>100000</v>
      </c>
      <c r="F20" s="947">
        <f>E20</f>
        <v>100000</v>
      </c>
    </row>
    <row r="21" spans="1:6" ht="29.4" thickBot="1">
      <c r="A21" s="954"/>
      <c r="B21" s="942" t="s">
        <v>685</v>
      </c>
      <c r="C21" s="948" t="s">
        <v>103</v>
      </c>
      <c r="D21" s="949">
        <v>1</v>
      </c>
      <c r="E21" s="950"/>
      <c r="F21" s="656">
        <f t="shared" ref="F21" si="1">E21*D21</f>
        <v>0</v>
      </c>
    </row>
    <row r="22" spans="1:6" ht="43.2">
      <c r="A22" s="939">
        <v>32.04</v>
      </c>
      <c r="B22" s="943" t="s">
        <v>686</v>
      </c>
      <c r="C22" s="941"/>
      <c r="D22" s="944"/>
      <c r="E22" s="944"/>
      <c r="F22" s="944"/>
    </row>
    <row r="23" spans="1:6" ht="27.6">
      <c r="A23" s="955"/>
      <c r="B23" s="938" t="s">
        <v>687</v>
      </c>
      <c r="C23" s="945" t="s">
        <v>103</v>
      </c>
      <c r="D23" s="946">
        <v>1</v>
      </c>
      <c r="E23" s="925"/>
      <c r="F23" s="947">
        <f t="shared" ref="F23" si="2">E23*D23</f>
        <v>0</v>
      </c>
    </row>
    <row r="24" spans="1:6" ht="14.4">
      <c r="A24" s="955"/>
      <c r="B24" s="937" t="s">
        <v>688</v>
      </c>
      <c r="C24" s="648" t="s">
        <v>484</v>
      </c>
      <c r="D24" s="649">
        <v>1</v>
      </c>
      <c r="E24" s="650">
        <v>100000</v>
      </c>
      <c r="F24" s="651">
        <f>E24</f>
        <v>100000</v>
      </c>
    </row>
    <row r="25" spans="1:6" ht="14.4">
      <c r="A25" s="956"/>
      <c r="B25" s="937" t="s">
        <v>696</v>
      </c>
      <c r="C25" s="668" t="s">
        <v>454</v>
      </c>
      <c r="D25" s="669">
        <f>F24</f>
        <v>100000</v>
      </c>
      <c r="E25" s="670"/>
      <c r="F25" s="671">
        <f>E25*D25</f>
        <v>0</v>
      </c>
    </row>
    <row r="26" spans="1:6" ht="14.4">
      <c r="A26" s="955"/>
      <c r="B26" s="938" t="s">
        <v>689</v>
      </c>
      <c r="C26" s="906" t="s">
        <v>690</v>
      </c>
      <c r="D26" s="934">
        <v>10</v>
      </c>
      <c r="E26" s="925"/>
      <c r="F26" s="947">
        <f t="shared" ref="F26:F28" si="3">E26*D26</f>
        <v>0</v>
      </c>
    </row>
    <row r="27" spans="1:6" ht="14.4">
      <c r="A27" s="955"/>
      <c r="B27" s="938" t="s">
        <v>691</v>
      </c>
      <c r="C27" s="906" t="s">
        <v>690</v>
      </c>
      <c r="D27" s="934">
        <v>10</v>
      </c>
      <c r="E27" s="925"/>
      <c r="F27" s="947">
        <f t="shared" si="3"/>
        <v>0</v>
      </c>
    </row>
    <row r="28" spans="1:6" ht="14.4">
      <c r="A28" s="955"/>
      <c r="B28" s="938" t="s">
        <v>692</v>
      </c>
      <c r="C28" s="906" t="s">
        <v>690</v>
      </c>
      <c r="D28" s="934">
        <v>10</v>
      </c>
      <c r="E28" s="925"/>
      <c r="F28" s="947">
        <f t="shared" si="3"/>
        <v>0</v>
      </c>
    </row>
    <row r="29" spans="1:6" ht="14.4">
      <c r="A29" s="956"/>
      <c r="B29" s="937" t="s">
        <v>693</v>
      </c>
      <c r="C29" s="906"/>
      <c r="D29" s="946"/>
      <c r="E29" s="946"/>
      <c r="F29" s="946"/>
    </row>
    <row r="30" spans="1:6" ht="14.4">
      <c r="A30" s="955"/>
      <c r="B30" s="938" t="s">
        <v>694</v>
      </c>
      <c r="C30" s="906" t="s">
        <v>690</v>
      </c>
      <c r="D30" s="934">
        <v>10</v>
      </c>
      <c r="E30" s="925"/>
      <c r="F30" s="947">
        <f t="shared" ref="F30:F31" si="4">E30*D30</f>
        <v>0</v>
      </c>
    </row>
    <row r="31" spans="1:6" ht="15" thickBot="1">
      <c r="A31" s="957"/>
      <c r="B31" s="942" t="s">
        <v>695</v>
      </c>
      <c r="C31" s="909" t="s">
        <v>690</v>
      </c>
      <c r="D31" s="951">
        <v>10</v>
      </c>
      <c r="E31" s="950"/>
      <c r="F31" s="656">
        <f t="shared" si="4"/>
        <v>0</v>
      </c>
    </row>
    <row r="32" spans="1:6" ht="13.8" thickBot="1">
      <c r="A32" s="636"/>
      <c r="B32" s="720" t="s">
        <v>485</v>
      </c>
      <c r="C32" s="721"/>
      <c r="D32" s="721"/>
      <c r="E32" s="721"/>
      <c r="F32" s="936">
        <f>SUM(F15:F31)</f>
        <v>201000</v>
      </c>
    </row>
    <row r="33" spans="1:6" ht="13.8" thickBot="1"/>
    <row r="34" spans="1:6" ht="13.8" thickBot="1">
      <c r="A34" s="631" t="s">
        <v>479</v>
      </c>
      <c r="B34" s="632" t="s">
        <v>0</v>
      </c>
      <c r="C34" s="633" t="s">
        <v>1</v>
      </c>
      <c r="D34" s="633" t="s">
        <v>2</v>
      </c>
      <c r="E34" s="634" t="s">
        <v>3</v>
      </c>
      <c r="F34" s="635" t="s">
        <v>480</v>
      </c>
    </row>
    <row r="35" spans="1:6" ht="13.8" thickBot="1">
      <c r="A35" s="636">
        <v>3300</v>
      </c>
      <c r="B35" s="637" t="s">
        <v>102</v>
      </c>
      <c r="C35" s="638"/>
      <c r="D35" s="638"/>
      <c r="E35" s="638"/>
      <c r="F35" s="638"/>
    </row>
    <row r="36" spans="1:6">
      <c r="A36" s="639">
        <v>33.01</v>
      </c>
      <c r="B36" s="640" t="s">
        <v>486</v>
      </c>
      <c r="C36" s="641"/>
      <c r="D36" s="641"/>
      <c r="E36" s="641"/>
      <c r="F36" s="660"/>
    </row>
    <row r="37" spans="1:6" ht="26.4">
      <c r="A37" s="1031"/>
      <c r="B37" s="642" t="s">
        <v>701</v>
      </c>
      <c r="C37" s="643" t="s">
        <v>103</v>
      </c>
      <c r="D37" s="643">
        <v>1</v>
      </c>
      <c r="E37" s="1003">
        <f>'CE &amp; Other Hours'!D28</f>
        <v>0</v>
      </c>
      <c r="F37" s="646">
        <f>E37*D37</f>
        <v>0</v>
      </c>
    </row>
    <row r="38" spans="1:6" ht="13.8" thickBot="1">
      <c r="A38" s="1033"/>
      <c r="B38" s="661" t="s">
        <v>597</v>
      </c>
      <c r="C38" s="662" t="s">
        <v>467</v>
      </c>
      <c r="D38" s="662">
        <v>1</v>
      </c>
      <c r="E38" s="663"/>
      <c r="F38" s="664">
        <f>E38*D38</f>
        <v>0</v>
      </c>
    </row>
    <row r="39" spans="1:6" ht="13.8" thickBot="1">
      <c r="A39" s="636"/>
      <c r="B39" s="657" t="s">
        <v>485</v>
      </c>
      <c r="C39" s="658"/>
      <c r="D39" s="658"/>
      <c r="E39" s="658"/>
      <c r="F39" s="659">
        <f>SUM(F36:F38)</f>
        <v>0</v>
      </c>
    </row>
    <row r="40" spans="1:6" ht="13.8" thickBot="1"/>
    <row r="41" spans="1:6" ht="13.8" thickBot="1">
      <c r="A41" s="631" t="s">
        <v>479</v>
      </c>
      <c r="B41" s="632" t="s">
        <v>0</v>
      </c>
      <c r="C41" s="633" t="s">
        <v>1</v>
      </c>
      <c r="D41" s="633" t="s">
        <v>2</v>
      </c>
      <c r="E41" s="634" t="s">
        <v>3</v>
      </c>
      <c r="F41" s="635" t="s">
        <v>480</v>
      </c>
    </row>
    <row r="42" spans="1:6" ht="13.8" thickBot="1">
      <c r="A42" s="636">
        <v>3400</v>
      </c>
      <c r="B42" s="637" t="s">
        <v>487</v>
      </c>
      <c r="C42" s="638"/>
      <c r="D42" s="638"/>
      <c r="E42" s="638"/>
      <c r="F42" s="638"/>
    </row>
    <row r="43" spans="1:6">
      <c r="A43" s="639">
        <v>34.01</v>
      </c>
      <c r="B43" s="640" t="s">
        <v>488</v>
      </c>
      <c r="C43" s="641"/>
      <c r="D43" s="641"/>
      <c r="E43" s="641"/>
      <c r="F43" s="641"/>
    </row>
    <row r="44" spans="1:6">
      <c r="A44" s="1031"/>
      <c r="B44" s="642" t="s">
        <v>489</v>
      </c>
      <c r="C44" s="643" t="s">
        <v>103</v>
      </c>
      <c r="D44" s="643">
        <v>1</v>
      </c>
      <c r="E44" s="645"/>
      <c r="F44" s="665">
        <f>E44</f>
        <v>0</v>
      </c>
    </row>
    <row r="45" spans="1:6">
      <c r="A45" s="1032"/>
      <c r="B45" s="642" t="s">
        <v>574</v>
      </c>
      <c r="C45" s="643" t="s">
        <v>484</v>
      </c>
      <c r="D45" s="643">
        <v>1</v>
      </c>
      <c r="E45" s="666">
        <v>15000</v>
      </c>
      <c r="F45" s="665">
        <f>E45</f>
        <v>15000</v>
      </c>
    </row>
    <row r="46" spans="1:6">
      <c r="A46" s="1034"/>
      <c r="B46" s="667" t="s">
        <v>490</v>
      </c>
      <c r="C46" s="668" t="s">
        <v>454</v>
      </c>
      <c r="D46" s="669">
        <f>F45</f>
        <v>15000</v>
      </c>
      <c r="E46" s="670"/>
      <c r="F46" s="671">
        <f>E46*D46</f>
        <v>0</v>
      </c>
    </row>
    <row r="47" spans="1:6">
      <c r="A47" s="639">
        <v>34.020000000000003</v>
      </c>
      <c r="B47" s="640" t="s">
        <v>491</v>
      </c>
      <c r="C47" s="641"/>
      <c r="D47" s="641"/>
      <c r="E47" s="641"/>
      <c r="F47" s="641"/>
    </row>
    <row r="48" spans="1:6">
      <c r="A48" s="1031"/>
      <c r="B48" s="642" t="s">
        <v>598</v>
      </c>
      <c r="C48" s="643" t="s">
        <v>103</v>
      </c>
      <c r="D48" s="643">
        <v>1</v>
      </c>
      <c r="E48" s="645"/>
      <c r="F48" s="672">
        <f>E48*D48</f>
        <v>0</v>
      </c>
    </row>
    <row r="49" spans="1:6">
      <c r="A49" s="1032"/>
      <c r="B49" s="667" t="s">
        <v>492</v>
      </c>
      <c r="C49" s="668" t="s">
        <v>103</v>
      </c>
      <c r="D49" s="643">
        <v>1</v>
      </c>
      <c r="E49" s="673"/>
      <c r="F49" s="674">
        <f t="shared" ref="F49:F50" si="5">E49*D49</f>
        <v>0</v>
      </c>
    </row>
    <row r="50" spans="1:6" ht="13.8" thickBot="1">
      <c r="A50" s="652">
        <v>34.03</v>
      </c>
      <c r="B50" s="653" t="s">
        <v>493</v>
      </c>
      <c r="C50" s="654" t="s">
        <v>103</v>
      </c>
      <c r="D50" s="654">
        <v>1</v>
      </c>
      <c r="E50" s="655"/>
      <c r="F50" s="675">
        <f t="shared" si="5"/>
        <v>0</v>
      </c>
    </row>
    <row r="51" spans="1:6" ht="13.8" thickBot="1">
      <c r="A51" s="636"/>
      <c r="B51" s="657" t="s">
        <v>485</v>
      </c>
      <c r="C51" s="658"/>
      <c r="D51" s="658"/>
      <c r="E51" s="658"/>
      <c r="F51" s="659">
        <f>SUM(F43:F50)</f>
        <v>15000</v>
      </c>
    </row>
    <row r="52" spans="1:6" ht="13.8" thickBot="1"/>
    <row r="53" spans="1:6" ht="13.8" thickBot="1">
      <c r="A53" s="631" t="s">
        <v>479</v>
      </c>
      <c r="B53" s="632" t="s">
        <v>0</v>
      </c>
      <c r="C53" s="633" t="s">
        <v>1</v>
      </c>
      <c r="D53" s="633" t="s">
        <v>2</v>
      </c>
      <c r="E53" s="634" t="s">
        <v>3</v>
      </c>
      <c r="F53" s="635" t="s">
        <v>480</v>
      </c>
    </row>
    <row r="54" spans="1:6" ht="27" thickBot="1">
      <c r="A54" s="676">
        <v>3500</v>
      </c>
      <c r="B54" s="637" t="s">
        <v>494</v>
      </c>
      <c r="C54" s="638"/>
      <c r="D54" s="638"/>
      <c r="E54" s="638"/>
      <c r="F54" s="638"/>
    </row>
    <row r="55" spans="1:6">
      <c r="A55" s="639">
        <v>35.01</v>
      </c>
      <c r="B55" s="640" t="s">
        <v>495</v>
      </c>
      <c r="C55" s="641"/>
      <c r="D55" s="641"/>
      <c r="E55" s="641"/>
      <c r="F55" s="641"/>
    </row>
    <row r="56" spans="1:6">
      <c r="A56" s="1031"/>
      <c r="B56" s="642" t="s">
        <v>602</v>
      </c>
      <c r="C56" s="643" t="s">
        <v>307</v>
      </c>
      <c r="D56" s="643">
        <f>'TENDERER INPUT DATA'!$D$46</f>
        <v>60</v>
      </c>
      <c r="E56" s="776">
        <f>'CE &amp; Other Hours'!$D$34</f>
        <v>0</v>
      </c>
      <c r="F56" s="672">
        <f>ROUND(E56*D56,2)</f>
        <v>0</v>
      </c>
    </row>
    <row r="57" spans="1:6">
      <c r="A57" s="1032"/>
      <c r="B57" s="642" t="s">
        <v>603</v>
      </c>
      <c r="C57" s="643" t="s">
        <v>307</v>
      </c>
      <c r="D57" s="643">
        <f>'TENDERER INPUT DATA'!$D$46</f>
        <v>60</v>
      </c>
      <c r="E57" s="645"/>
      <c r="F57" s="672">
        <f>E57*D57</f>
        <v>0</v>
      </c>
    </row>
    <row r="58" spans="1:6">
      <c r="A58" s="1032"/>
      <c r="B58" s="642" t="s">
        <v>496</v>
      </c>
      <c r="C58" s="643" t="s">
        <v>307</v>
      </c>
      <c r="D58" s="643">
        <f>'TENDERER INPUT DATA'!$D$46</f>
        <v>60</v>
      </c>
      <c r="E58" s="645"/>
      <c r="F58" s="672">
        <f>E58*D58</f>
        <v>0</v>
      </c>
    </row>
    <row r="59" spans="1:6">
      <c r="A59" s="1032"/>
      <c r="B59" s="642" t="s">
        <v>497</v>
      </c>
      <c r="C59" s="643"/>
      <c r="D59" s="643"/>
      <c r="E59" s="677"/>
      <c r="F59" s="672"/>
    </row>
    <row r="60" spans="1:6" ht="26.4">
      <c r="A60" s="678"/>
      <c r="B60" s="642" t="s">
        <v>498</v>
      </c>
      <c r="C60" s="644" t="s">
        <v>307</v>
      </c>
      <c r="D60" s="643">
        <f>'TENDERER INPUT DATA'!$D$46</f>
        <v>60</v>
      </c>
      <c r="E60" s="645"/>
      <c r="F60" s="672">
        <f>E60*D60</f>
        <v>0</v>
      </c>
    </row>
    <row r="61" spans="1:6">
      <c r="A61" s="678"/>
      <c r="B61" s="642" t="s">
        <v>499</v>
      </c>
      <c r="C61" s="643" t="s">
        <v>504</v>
      </c>
      <c r="D61" s="643">
        <v>1</v>
      </c>
      <c r="E61" s="666">
        <v>60000</v>
      </c>
      <c r="F61" s="672">
        <f>E61</f>
        <v>60000</v>
      </c>
    </row>
    <row r="62" spans="1:6">
      <c r="A62" s="678"/>
      <c r="B62" s="647" t="s">
        <v>501</v>
      </c>
      <c r="C62" s="644" t="s">
        <v>454</v>
      </c>
      <c r="D62" s="733">
        <f>F61</f>
        <v>60000</v>
      </c>
      <c r="E62" s="710"/>
      <c r="F62" s="665">
        <f>E62*D62</f>
        <v>0</v>
      </c>
    </row>
    <row r="63" spans="1:6">
      <c r="A63" s="678"/>
      <c r="B63" s="642" t="s">
        <v>502</v>
      </c>
      <c r="C63" s="682"/>
      <c r="D63" s="683"/>
      <c r="E63" s="683"/>
      <c r="F63" s="684"/>
    </row>
    <row r="64" spans="1:6">
      <c r="A64" s="678"/>
      <c r="B64" s="642" t="s">
        <v>503</v>
      </c>
      <c r="C64" s="643" t="s">
        <v>504</v>
      </c>
      <c r="D64" s="643">
        <v>1</v>
      </c>
      <c r="E64" s="666">
        <v>200000</v>
      </c>
      <c r="F64" s="672">
        <f>E64</f>
        <v>200000</v>
      </c>
    </row>
    <row r="65" spans="1:6" ht="52.8">
      <c r="A65" s="685"/>
      <c r="B65" s="686" t="s">
        <v>601</v>
      </c>
      <c r="C65" s="687" t="s">
        <v>307</v>
      </c>
      <c r="D65" s="643">
        <f>'TENDERER INPUT DATA'!$D$46</f>
        <v>60</v>
      </c>
      <c r="E65" s="688"/>
      <c r="F65" s="689">
        <f>E65*D65</f>
        <v>0</v>
      </c>
    </row>
    <row r="66" spans="1:6">
      <c r="A66" s="639">
        <v>35.020000000000003</v>
      </c>
      <c r="B66" s="640" t="s">
        <v>505</v>
      </c>
      <c r="C66" s="641"/>
      <c r="D66" s="641"/>
      <c r="E66" s="641"/>
      <c r="F66" s="641"/>
    </row>
    <row r="67" spans="1:6">
      <c r="A67" s="1031"/>
      <c r="B67" s="642" t="s">
        <v>506</v>
      </c>
      <c r="C67" s="648" t="s">
        <v>484</v>
      </c>
      <c r="D67" s="643">
        <v>1</v>
      </c>
      <c r="E67" s="666">
        <v>100000</v>
      </c>
      <c r="F67" s="672">
        <f>E67</f>
        <v>100000</v>
      </c>
    </row>
    <row r="68" spans="1:6">
      <c r="A68" s="1032"/>
      <c r="B68" s="642" t="s">
        <v>507</v>
      </c>
      <c r="C68" s="648" t="s">
        <v>454</v>
      </c>
      <c r="D68" s="679">
        <f>F67</f>
        <v>100000</v>
      </c>
      <c r="E68" s="680"/>
      <c r="F68" s="681">
        <f>E68*D68</f>
        <v>0</v>
      </c>
    </row>
    <row r="69" spans="1:6">
      <c r="A69" s="1034"/>
      <c r="B69" s="667" t="s">
        <v>508</v>
      </c>
      <c r="C69" s="668" t="s">
        <v>103</v>
      </c>
      <c r="D69" s="668">
        <v>1</v>
      </c>
      <c r="E69" s="673"/>
      <c r="F69" s="690">
        <f t="shared" ref="F69" si="6">E69*D69</f>
        <v>0</v>
      </c>
    </row>
    <row r="70" spans="1:6">
      <c r="A70" s="691">
        <v>35.03</v>
      </c>
      <c r="B70" s="692" t="s">
        <v>352</v>
      </c>
      <c r="C70" s="693"/>
      <c r="D70" s="693"/>
      <c r="E70" s="693"/>
      <c r="F70" s="693"/>
    </row>
    <row r="71" spans="1:6">
      <c r="A71" s="1032"/>
      <c r="B71" s="642" t="s">
        <v>509</v>
      </c>
      <c r="C71" s="643" t="s">
        <v>504</v>
      </c>
      <c r="D71" s="643">
        <v>1</v>
      </c>
      <c r="E71" s="666">
        <v>10000000</v>
      </c>
      <c r="F71" s="672">
        <f>E71</f>
        <v>10000000</v>
      </c>
    </row>
    <row r="72" spans="1:6">
      <c r="A72" s="1032"/>
      <c r="B72" s="642" t="s">
        <v>510</v>
      </c>
      <c r="C72" s="643" t="s">
        <v>454</v>
      </c>
      <c r="D72" s="679">
        <f>F71</f>
        <v>10000000</v>
      </c>
      <c r="E72" s="680"/>
      <c r="F72" s="681">
        <f>E72*D72</f>
        <v>0</v>
      </c>
    </row>
    <row r="73" spans="1:6">
      <c r="A73" s="1032"/>
      <c r="B73" s="642" t="s">
        <v>511</v>
      </c>
      <c r="C73" s="643" t="s">
        <v>504</v>
      </c>
      <c r="D73" s="643">
        <v>1</v>
      </c>
      <c r="E73" s="666">
        <v>1000000</v>
      </c>
      <c r="F73" s="672">
        <f>E73</f>
        <v>1000000</v>
      </c>
    </row>
    <row r="74" spans="1:6">
      <c r="A74" s="1032"/>
      <c r="B74" s="642" t="s">
        <v>512</v>
      </c>
      <c r="C74" s="643" t="s">
        <v>454</v>
      </c>
      <c r="D74" s="679">
        <f>F73</f>
        <v>1000000</v>
      </c>
      <c r="E74" s="680"/>
      <c r="F74" s="681">
        <f>E74*D74</f>
        <v>0</v>
      </c>
    </row>
    <row r="75" spans="1:6">
      <c r="A75" s="1032"/>
      <c r="B75" s="642" t="s">
        <v>513</v>
      </c>
      <c r="C75" s="643" t="s">
        <v>504</v>
      </c>
      <c r="D75" s="643">
        <v>1</v>
      </c>
      <c r="E75" s="666">
        <v>2000000</v>
      </c>
      <c r="F75" s="672">
        <f>E75</f>
        <v>2000000</v>
      </c>
    </row>
    <row r="76" spans="1:6">
      <c r="A76" s="1032"/>
      <c r="B76" s="642" t="s">
        <v>514</v>
      </c>
      <c r="C76" s="643" t="s">
        <v>454</v>
      </c>
      <c r="D76" s="679">
        <f>F75</f>
        <v>2000000</v>
      </c>
      <c r="E76" s="680"/>
      <c r="F76" s="681">
        <f>E76*D76</f>
        <v>0</v>
      </c>
    </row>
    <row r="77" spans="1:6">
      <c r="A77" s="1032"/>
      <c r="B77" s="642" t="s">
        <v>515</v>
      </c>
      <c r="C77" s="643" t="s">
        <v>307</v>
      </c>
      <c r="D77" s="643">
        <f>'TENDERER INPUT DATA'!$D$46</f>
        <v>60</v>
      </c>
      <c r="E77" s="645"/>
      <c r="F77" s="672">
        <f>E77*D77</f>
        <v>0</v>
      </c>
    </row>
    <row r="78" spans="1:6">
      <c r="A78" s="1032"/>
      <c r="B78" s="642" t="s">
        <v>516</v>
      </c>
      <c r="C78" s="643" t="s">
        <v>504</v>
      </c>
      <c r="D78" s="643">
        <v>1</v>
      </c>
      <c r="E78" s="666">
        <v>480000</v>
      </c>
      <c r="F78" s="672">
        <f>E78</f>
        <v>480000</v>
      </c>
    </row>
    <row r="79" spans="1:6">
      <c r="A79" s="1034"/>
      <c r="B79" s="667" t="s">
        <v>517</v>
      </c>
      <c r="C79" s="668" t="s">
        <v>454</v>
      </c>
      <c r="D79" s="694">
        <f>F78</f>
        <v>480000</v>
      </c>
      <c r="E79" s="695"/>
      <c r="F79" s="696">
        <f>E79*D79</f>
        <v>0</v>
      </c>
    </row>
    <row r="80" spans="1:6" ht="26.4">
      <c r="A80" s="697">
        <v>35.04</v>
      </c>
      <c r="B80" s="692" t="s">
        <v>518</v>
      </c>
      <c r="C80" s="693"/>
      <c r="D80" s="693"/>
      <c r="E80" s="693"/>
      <c r="F80" s="693"/>
    </row>
    <row r="81" spans="1:6">
      <c r="A81" s="1025"/>
      <c r="B81" s="642" t="s">
        <v>519</v>
      </c>
      <c r="C81" s="643" t="s">
        <v>504</v>
      </c>
      <c r="D81" s="643">
        <v>1</v>
      </c>
      <c r="E81" s="666">
        <v>3000000</v>
      </c>
      <c r="F81" s="672">
        <f>E81</f>
        <v>3000000</v>
      </c>
    </row>
    <row r="82" spans="1:6">
      <c r="A82" s="1025"/>
      <c r="B82" s="642" t="s">
        <v>520</v>
      </c>
      <c r="C82" s="643" t="s">
        <v>454</v>
      </c>
      <c r="D82" s="679">
        <f>F81</f>
        <v>3000000</v>
      </c>
      <c r="E82" s="680"/>
      <c r="F82" s="681">
        <f>E82*D82</f>
        <v>0</v>
      </c>
    </row>
    <row r="83" spans="1:6">
      <c r="A83" s="1026"/>
      <c r="B83" s="667" t="s">
        <v>521</v>
      </c>
      <c r="C83" s="668" t="s">
        <v>484</v>
      </c>
      <c r="D83" s="698">
        <v>1</v>
      </c>
      <c r="E83" s="699">
        <v>50000</v>
      </c>
      <c r="F83" s="690">
        <f>E83</f>
        <v>50000</v>
      </c>
    </row>
    <row r="84" spans="1:6" ht="39.6">
      <c r="A84" s="1037">
        <v>35.049999999999997</v>
      </c>
      <c r="B84" s="700" t="s">
        <v>522</v>
      </c>
      <c r="C84" s="682"/>
      <c r="D84" s="682"/>
      <c r="E84" s="682"/>
      <c r="F84" s="682"/>
    </row>
    <row r="85" spans="1:6">
      <c r="A85" s="1037"/>
      <c r="B85" s="642" t="s">
        <v>523</v>
      </c>
      <c r="C85" s="643" t="s">
        <v>467</v>
      </c>
      <c r="D85" s="643">
        <v>5</v>
      </c>
      <c r="E85" s="701"/>
      <c r="F85" s="672">
        <f>E85*D85</f>
        <v>0</v>
      </c>
    </row>
    <row r="86" spans="1:6">
      <c r="A86" s="1037"/>
      <c r="B86" s="642" t="s">
        <v>524</v>
      </c>
      <c r="C86" s="643" t="s">
        <v>467</v>
      </c>
      <c r="D86" s="643">
        <v>15</v>
      </c>
      <c r="E86" s="701"/>
      <c r="F86" s="672">
        <f>E86*D86</f>
        <v>0</v>
      </c>
    </row>
    <row r="87" spans="1:6">
      <c r="A87" s="1037"/>
      <c r="B87" s="647" t="s">
        <v>525</v>
      </c>
      <c r="C87" s="648" t="s">
        <v>467</v>
      </c>
      <c r="D87" s="648">
        <v>15</v>
      </c>
      <c r="E87" s="824"/>
      <c r="F87" s="674">
        <f>E87*D87</f>
        <v>0</v>
      </c>
    </row>
    <row r="88" spans="1:6">
      <c r="A88" s="825">
        <v>35.06</v>
      </c>
      <c r="B88" s="826" t="s">
        <v>526</v>
      </c>
      <c r="C88" s="827" t="s">
        <v>467</v>
      </c>
      <c r="D88" s="827">
        <v>3</v>
      </c>
      <c r="E88" s="828"/>
      <c r="F88" s="829">
        <f t="shared" ref="F88" si="7">E88*D88</f>
        <v>0</v>
      </c>
    </row>
    <row r="89" spans="1:6">
      <c r="A89" s="1043">
        <v>35.07</v>
      </c>
      <c r="B89" s="817" t="s">
        <v>619</v>
      </c>
      <c r="C89" s="818"/>
      <c r="D89" s="641"/>
      <c r="E89" s="682"/>
      <c r="F89" s="682"/>
    </row>
    <row r="90" spans="1:6">
      <c r="A90" s="1043"/>
      <c r="B90" s="819" t="s">
        <v>620</v>
      </c>
      <c r="C90" s="641"/>
      <c r="D90" s="641"/>
      <c r="E90" s="677"/>
      <c r="F90" s="672"/>
    </row>
    <row r="91" spans="1:6">
      <c r="A91" s="1043"/>
      <c r="B91" s="642" t="s">
        <v>621</v>
      </c>
      <c r="C91" s="643" t="s">
        <v>467</v>
      </c>
      <c r="D91" s="643">
        <v>5</v>
      </c>
      <c r="E91" s="701"/>
      <c r="F91" s="672">
        <f t="shared" ref="F91:F98" si="8">E91*D91</f>
        <v>0</v>
      </c>
    </row>
    <row r="92" spans="1:6">
      <c r="A92" s="1043"/>
      <c r="B92" s="642" t="s">
        <v>622</v>
      </c>
      <c r="C92" s="643" t="s">
        <v>467</v>
      </c>
      <c r="D92" s="643">
        <v>5</v>
      </c>
      <c r="E92" s="701"/>
      <c r="F92" s="672">
        <f t="shared" si="8"/>
        <v>0</v>
      </c>
    </row>
    <row r="93" spans="1:6">
      <c r="A93" s="1043"/>
      <c r="B93" s="647" t="s">
        <v>623</v>
      </c>
      <c r="C93" s="648" t="s">
        <v>467</v>
      </c>
      <c r="D93" s="648">
        <v>5</v>
      </c>
      <c r="E93" s="701"/>
      <c r="F93" s="672">
        <f t="shared" si="8"/>
        <v>0</v>
      </c>
    </row>
    <row r="94" spans="1:6">
      <c r="A94" s="1043"/>
      <c r="B94" s="820" t="s">
        <v>624</v>
      </c>
      <c r="C94" s="644" t="s">
        <v>467</v>
      </c>
      <c r="D94" s="643">
        <v>5</v>
      </c>
      <c r="E94" s="701"/>
      <c r="F94" s="672">
        <f t="shared" si="8"/>
        <v>0</v>
      </c>
    </row>
    <row r="95" spans="1:6">
      <c r="A95" s="1043"/>
      <c r="B95" s="820" t="s">
        <v>625</v>
      </c>
      <c r="C95" s="644" t="s">
        <v>467</v>
      </c>
      <c r="D95" s="643">
        <v>20</v>
      </c>
      <c r="E95" s="701"/>
      <c r="F95" s="672">
        <f t="shared" si="8"/>
        <v>0</v>
      </c>
    </row>
    <row r="96" spans="1:6">
      <c r="A96" s="1043"/>
      <c r="B96" s="820" t="s">
        <v>626</v>
      </c>
      <c r="C96" s="644" t="s">
        <v>467</v>
      </c>
      <c r="D96" s="643">
        <v>20</v>
      </c>
      <c r="E96" s="701"/>
      <c r="F96" s="672">
        <f t="shared" si="8"/>
        <v>0</v>
      </c>
    </row>
    <row r="97" spans="1:6">
      <c r="A97" s="1043"/>
      <c r="B97" s="821" t="s">
        <v>627</v>
      </c>
      <c r="C97" s="644" t="s">
        <v>467</v>
      </c>
      <c r="D97" s="643">
        <v>60</v>
      </c>
      <c r="E97" s="701"/>
      <c r="F97" s="672">
        <f t="shared" si="8"/>
        <v>0</v>
      </c>
    </row>
    <row r="98" spans="1:6" ht="13.8" thickBot="1">
      <c r="A98" s="1044"/>
      <c r="B98" s="822" t="s">
        <v>628</v>
      </c>
      <c r="C98" s="719" t="s">
        <v>307</v>
      </c>
      <c r="D98" s="643">
        <f>'TENDERER INPUT DATA'!$D$46</f>
        <v>60</v>
      </c>
      <c r="E98" s="663"/>
      <c r="F98" s="823">
        <f t="shared" si="8"/>
        <v>0</v>
      </c>
    </row>
    <row r="99" spans="1:6" ht="13.8" thickBot="1">
      <c r="A99" s="636"/>
      <c r="B99" s="657" t="s">
        <v>485</v>
      </c>
      <c r="C99" s="658"/>
      <c r="D99" s="658"/>
      <c r="E99" s="658"/>
      <c r="F99" s="659">
        <f>SUM(F56:F98)</f>
        <v>16890000</v>
      </c>
    </row>
    <row r="100" spans="1:6" ht="13.8" thickBot="1"/>
    <row r="101" spans="1:6" ht="13.8" thickBot="1">
      <c r="A101" s="631" t="s">
        <v>479</v>
      </c>
      <c r="B101" s="632" t="s">
        <v>0</v>
      </c>
      <c r="C101" s="633" t="s">
        <v>1</v>
      </c>
      <c r="D101" s="633" t="s">
        <v>2</v>
      </c>
      <c r="E101" s="634" t="s">
        <v>3</v>
      </c>
      <c r="F101" s="635" t="s">
        <v>480</v>
      </c>
    </row>
    <row r="102" spans="1:6" ht="13.8" thickBot="1">
      <c r="A102" s="636">
        <v>3600</v>
      </c>
      <c r="B102" s="637" t="s">
        <v>527</v>
      </c>
      <c r="C102" s="638"/>
      <c r="D102" s="638"/>
      <c r="E102" s="638"/>
      <c r="F102" s="638"/>
    </row>
    <row r="103" spans="1:6">
      <c r="A103" s="639">
        <v>36.01</v>
      </c>
      <c r="B103" s="640" t="s">
        <v>108</v>
      </c>
      <c r="C103" s="641"/>
      <c r="D103" s="641"/>
      <c r="E103" s="641"/>
      <c r="F103" s="641"/>
    </row>
    <row r="104" spans="1:6">
      <c r="A104" s="1031"/>
      <c r="B104" s="642" t="s">
        <v>528</v>
      </c>
      <c r="C104" s="643" t="s">
        <v>109</v>
      </c>
      <c r="D104" s="934">
        <v>50</v>
      </c>
      <c r="E104" s="677">
        <f>'[1]TENDERER INPUT DATA'!$D$32</f>
        <v>3534</v>
      </c>
      <c r="F104" s="672">
        <f>E104*D104</f>
        <v>176700</v>
      </c>
    </row>
    <row r="105" spans="1:6">
      <c r="A105" s="1032"/>
      <c r="B105" s="642" t="s">
        <v>529</v>
      </c>
      <c r="C105" s="643" t="s">
        <v>109</v>
      </c>
      <c r="D105" s="934">
        <v>300</v>
      </c>
      <c r="E105" s="677">
        <f>'[1]TENDERER INPUT DATA'!$D$33</f>
        <v>2796</v>
      </c>
      <c r="F105" s="672">
        <f>E105*D105</f>
        <v>838800</v>
      </c>
    </row>
    <row r="106" spans="1:6">
      <c r="A106" s="1032"/>
      <c r="B106" s="642" t="s">
        <v>530</v>
      </c>
      <c r="C106" s="643" t="s">
        <v>109</v>
      </c>
      <c r="D106" s="934">
        <v>500</v>
      </c>
      <c r="E106" s="677">
        <f>'[1]TENDERER INPUT DATA'!$D$34</f>
        <v>2403</v>
      </c>
      <c r="F106" s="672">
        <f>E106*D106</f>
        <v>1201500</v>
      </c>
    </row>
    <row r="107" spans="1:6">
      <c r="A107" s="1032"/>
      <c r="B107" s="647" t="s">
        <v>531</v>
      </c>
      <c r="C107" s="648" t="s">
        <v>109</v>
      </c>
      <c r="D107" s="935">
        <v>500</v>
      </c>
      <c r="E107" s="677">
        <f>'[1]TENDERER INPUT DATA'!$D$35</f>
        <v>1167</v>
      </c>
      <c r="F107" s="672">
        <f>E107*D107</f>
        <v>583500</v>
      </c>
    </row>
    <row r="108" spans="1:6">
      <c r="A108" s="678"/>
      <c r="B108" s="642" t="s">
        <v>671</v>
      </c>
      <c r="C108" s="643" t="s">
        <v>504</v>
      </c>
      <c r="D108" s="643">
        <v>1</v>
      </c>
      <c r="E108" s="666">
        <v>200000</v>
      </c>
      <c r="F108" s="672">
        <f>E108</f>
        <v>200000</v>
      </c>
    </row>
    <row r="109" spans="1:6">
      <c r="A109" s="702">
        <v>36.020000000000003</v>
      </c>
      <c r="B109" s="703" t="s">
        <v>532</v>
      </c>
      <c r="C109" s="704" t="s">
        <v>109</v>
      </c>
      <c r="D109" s="704" t="s">
        <v>533</v>
      </c>
      <c r="E109" s="705">
        <v>-1500</v>
      </c>
      <c r="F109" s="704" t="s">
        <v>534</v>
      </c>
    </row>
    <row r="110" spans="1:6">
      <c r="A110" s="706">
        <v>36.03</v>
      </c>
      <c r="B110" s="700" t="s">
        <v>94</v>
      </c>
      <c r="C110" s="682"/>
      <c r="D110" s="682"/>
      <c r="E110" s="707"/>
      <c r="F110" s="682"/>
    </row>
    <row r="111" spans="1:6">
      <c r="A111" s="1032"/>
      <c r="B111" s="642" t="s">
        <v>535</v>
      </c>
      <c r="C111" s="643" t="s">
        <v>500</v>
      </c>
      <c r="D111" s="643">
        <v>1</v>
      </c>
      <c r="E111" s="666">
        <v>200000</v>
      </c>
      <c r="F111" s="672">
        <f>E111</f>
        <v>200000</v>
      </c>
    </row>
    <row r="112" spans="1:6">
      <c r="A112" s="1032"/>
      <c r="B112" s="647" t="s">
        <v>536</v>
      </c>
      <c r="C112" s="648" t="s">
        <v>454</v>
      </c>
      <c r="D112" s="708">
        <f>F111</f>
        <v>200000</v>
      </c>
      <c r="E112" s="680"/>
      <c r="F112" s="681">
        <f>E112*D112</f>
        <v>0</v>
      </c>
    </row>
    <row r="113" spans="1:6">
      <c r="A113" s="691">
        <v>36.04</v>
      </c>
      <c r="B113" s="692" t="s">
        <v>537</v>
      </c>
      <c r="C113" s="693"/>
      <c r="D113" s="693"/>
      <c r="E113" s="709"/>
      <c r="F113" s="693"/>
    </row>
    <row r="114" spans="1:6">
      <c r="A114" s="1032"/>
      <c r="B114" s="642" t="s">
        <v>538</v>
      </c>
      <c r="C114" s="643" t="s">
        <v>500</v>
      </c>
      <c r="D114" s="643">
        <v>1</v>
      </c>
      <c r="E114" s="666">
        <v>750000</v>
      </c>
      <c r="F114" s="672">
        <f>E114</f>
        <v>750000</v>
      </c>
    </row>
    <row r="115" spans="1:6">
      <c r="A115" s="1032"/>
      <c r="B115" s="647" t="s">
        <v>539</v>
      </c>
      <c r="C115" s="648" t="s">
        <v>454</v>
      </c>
      <c r="D115" s="708">
        <f>F114</f>
        <v>750000</v>
      </c>
      <c r="E115" s="680"/>
      <c r="F115" s="681">
        <f>E115*D115</f>
        <v>0</v>
      </c>
    </row>
    <row r="116" spans="1:6">
      <c r="A116" s="702">
        <v>36.049999999999997</v>
      </c>
      <c r="B116" s="826" t="s">
        <v>540</v>
      </c>
      <c r="C116" s="704" t="s">
        <v>307</v>
      </c>
      <c r="D116" s="704">
        <f>'TENDERER INPUT DATA'!$D$46+4</f>
        <v>64</v>
      </c>
      <c r="E116" s="925"/>
      <c r="F116" s="926">
        <f>E116*D116</f>
        <v>0</v>
      </c>
    </row>
    <row r="117" spans="1:6">
      <c r="A117" s="1038">
        <v>36.06</v>
      </c>
      <c r="B117" s="692" t="s">
        <v>475</v>
      </c>
      <c r="C117" s="693"/>
      <c r="D117" s="693"/>
      <c r="E117" s="709"/>
      <c r="F117" s="693"/>
    </row>
    <row r="118" spans="1:6">
      <c r="A118" s="1039"/>
      <c r="B118" s="642" t="s">
        <v>541</v>
      </c>
      <c r="C118" s="643" t="s">
        <v>542</v>
      </c>
      <c r="D118" s="643">
        <v>1</v>
      </c>
      <c r="E118" s="645"/>
      <c r="F118" s="672">
        <f>E118*D118</f>
        <v>0</v>
      </c>
    </row>
    <row r="119" spans="1:6" ht="26.4">
      <c r="A119" s="1039"/>
      <c r="B119" s="642" t="s">
        <v>543</v>
      </c>
      <c r="C119" s="643" t="s">
        <v>504</v>
      </c>
      <c r="D119" s="643">
        <v>1</v>
      </c>
      <c r="E119" s="666">
        <v>350000</v>
      </c>
      <c r="F119" s="672">
        <f>E119</f>
        <v>350000</v>
      </c>
    </row>
    <row r="120" spans="1:6">
      <c r="A120" s="1039"/>
      <c r="B120" s="642" t="s">
        <v>544</v>
      </c>
      <c r="C120" s="643" t="s">
        <v>504</v>
      </c>
      <c r="D120" s="643">
        <v>1</v>
      </c>
      <c r="E120" s="666">
        <v>350000</v>
      </c>
      <c r="F120" s="672">
        <f>E120</f>
        <v>350000</v>
      </c>
    </row>
    <row r="121" spans="1:6">
      <c r="A121" s="1039"/>
      <c r="B121" s="642" t="s">
        <v>545</v>
      </c>
      <c r="C121" s="643" t="s">
        <v>454</v>
      </c>
      <c r="D121" s="677">
        <f>F120</f>
        <v>350000</v>
      </c>
      <c r="E121" s="710"/>
      <c r="F121" s="665">
        <f>E121*D121</f>
        <v>0</v>
      </c>
    </row>
    <row r="122" spans="1:6">
      <c r="A122" s="1039"/>
      <c r="B122" s="711" t="s">
        <v>546</v>
      </c>
      <c r="C122" s="641" t="s">
        <v>504</v>
      </c>
      <c r="D122" s="641">
        <v>1</v>
      </c>
      <c r="E122" s="712">
        <v>250000</v>
      </c>
      <c r="F122" s="713">
        <f>E122</f>
        <v>250000</v>
      </c>
    </row>
    <row r="123" spans="1:6">
      <c r="A123" s="1040"/>
      <c r="B123" s="667" t="s">
        <v>547</v>
      </c>
      <c r="C123" s="668" t="s">
        <v>454</v>
      </c>
      <c r="D123" s="694">
        <f>F122</f>
        <v>250000</v>
      </c>
      <c r="E123" s="695"/>
      <c r="F123" s="696">
        <f>E123*D123</f>
        <v>0</v>
      </c>
    </row>
    <row r="124" spans="1:6">
      <c r="A124" s="1041">
        <v>36.07</v>
      </c>
      <c r="B124" s="714" t="s">
        <v>548</v>
      </c>
      <c r="C124" s="693"/>
      <c r="D124" s="693"/>
      <c r="E124" s="709"/>
      <c r="F124" s="693"/>
    </row>
    <row r="125" spans="1:6">
      <c r="A125" s="1037"/>
      <c r="B125" s="715" t="s">
        <v>549</v>
      </c>
      <c r="C125" s="716" t="s">
        <v>542</v>
      </c>
      <c r="D125" s="716">
        <v>1</v>
      </c>
      <c r="E125" s="717"/>
      <c r="F125" s="718">
        <f>E125*D125</f>
        <v>0</v>
      </c>
    </row>
    <row r="126" spans="1:6" ht="26.4">
      <c r="A126" s="1037"/>
      <c r="B126" s="642" t="s">
        <v>550</v>
      </c>
      <c r="C126" s="643" t="s">
        <v>307</v>
      </c>
      <c r="D126" s="643">
        <f>'TENDERER INPUT DATA'!$D$46+4</f>
        <v>64</v>
      </c>
      <c r="E126" s="645"/>
      <c r="F126" s="672">
        <f>E126*D126</f>
        <v>0</v>
      </c>
    </row>
    <row r="127" spans="1:6" ht="27" thickBot="1">
      <c r="A127" s="1042"/>
      <c r="B127" s="661" t="s">
        <v>551</v>
      </c>
      <c r="C127" s="662" t="s">
        <v>307</v>
      </c>
      <c r="D127" s="719">
        <f>'TENDERER INPUT DATA'!$D$46+4</f>
        <v>64</v>
      </c>
      <c r="E127" s="663"/>
      <c r="F127" s="672">
        <f>E127*D127</f>
        <v>0</v>
      </c>
    </row>
    <row r="128" spans="1:6" ht="13.8" thickBot="1">
      <c r="A128" s="636"/>
      <c r="B128" s="720" t="s">
        <v>485</v>
      </c>
      <c r="C128" s="721"/>
      <c r="D128" s="721"/>
      <c r="E128" s="721"/>
      <c r="F128" s="659">
        <f>SUM(F103:F127)</f>
        <v>4900500</v>
      </c>
    </row>
    <row r="129" spans="1:6" ht="13.8" thickBot="1"/>
    <row r="130" spans="1:6" ht="13.8" thickBot="1">
      <c r="A130" s="631" t="s">
        <v>479</v>
      </c>
      <c r="B130" s="632" t="s">
        <v>0</v>
      </c>
      <c r="C130" s="633" t="s">
        <v>1</v>
      </c>
      <c r="D130" s="633" t="s">
        <v>2</v>
      </c>
      <c r="E130" s="634" t="s">
        <v>3</v>
      </c>
      <c r="F130" s="635" t="s">
        <v>480</v>
      </c>
    </row>
    <row r="131" spans="1:6" ht="13.8" thickBot="1">
      <c r="A131" s="636">
        <v>3700</v>
      </c>
      <c r="B131" s="637" t="s">
        <v>552</v>
      </c>
      <c r="C131" s="638"/>
      <c r="D131" s="638"/>
      <c r="E131" s="638"/>
      <c r="F131" s="638"/>
    </row>
    <row r="132" spans="1:6">
      <c r="A132" s="639">
        <v>37.01</v>
      </c>
      <c r="B132" s="640" t="s">
        <v>553</v>
      </c>
      <c r="C132" s="641"/>
      <c r="D132" s="641"/>
      <c r="E132" s="641"/>
      <c r="F132" s="641"/>
    </row>
    <row r="133" spans="1:6" ht="26.4">
      <c r="A133" s="1031"/>
      <c r="B133" s="952" t="s">
        <v>554</v>
      </c>
      <c r="C133" s="643" t="s">
        <v>500</v>
      </c>
      <c r="D133" s="643">
        <v>1</v>
      </c>
      <c r="E133" s="666">
        <v>200000</v>
      </c>
      <c r="F133" s="672">
        <f>E133</f>
        <v>200000</v>
      </c>
    </row>
    <row r="134" spans="1:6" ht="13.8" thickBot="1">
      <c r="A134" s="1033"/>
      <c r="B134" s="661" t="s">
        <v>555</v>
      </c>
      <c r="C134" s="662" t="s">
        <v>454</v>
      </c>
      <c r="D134" s="694">
        <f>F133</f>
        <v>200000</v>
      </c>
      <c r="E134" s="695"/>
      <c r="F134" s="696">
        <f>E134*D134</f>
        <v>0</v>
      </c>
    </row>
    <row r="135" spans="1:6" ht="13.8" thickBot="1">
      <c r="A135" s="636"/>
      <c r="B135" s="657" t="s">
        <v>485</v>
      </c>
      <c r="C135" s="658"/>
      <c r="D135" s="658"/>
      <c r="E135" s="658"/>
      <c r="F135" s="659">
        <f>SUM(F133:F134)</f>
        <v>200000</v>
      </c>
    </row>
    <row r="136" spans="1:6" ht="13.8" thickBot="1">
      <c r="A136" s="927"/>
      <c r="B136" s="928"/>
      <c r="C136" s="928"/>
      <c r="D136" s="928"/>
      <c r="E136" s="928"/>
      <c r="F136" s="929"/>
    </row>
    <row r="137" spans="1:6" ht="13.8" thickBot="1">
      <c r="A137" s="631" t="s">
        <v>479</v>
      </c>
      <c r="B137" s="632" t="s">
        <v>0</v>
      </c>
      <c r="C137" s="633" t="s">
        <v>1</v>
      </c>
      <c r="D137" s="633" t="s">
        <v>2</v>
      </c>
      <c r="E137" s="634" t="s">
        <v>3</v>
      </c>
      <c r="F137" s="635" t="s">
        <v>480</v>
      </c>
    </row>
    <row r="138" spans="1:6" ht="13.8" thickBot="1">
      <c r="A138" s="636">
        <v>3800</v>
      </c>
      <c r="B138" s="637" t="s">
        <v>672</v>
      </c>
      <c r="C138" s="638"/>
      <c r="D138" s="638"/>
      <c r="E138" s="638"/>
      <c r="F138" s="638"/>
    </row>
    <row r="139" spans="1:6">
      <c r="A139" s="639">
        <v>38.01</v>
      </c>
      <c r="B139" s="640" t="s">
        <v>673</v>
      </c>
      <c r="C139" s="641"/>
      <c r="D139" s="641"/>
      <c r="E139" s="641"/>
      <c r="F139" s="641"/>
    </row>
    <row r="140" spans="1:6">
      <c r="A140" s="1031"/>
      <c r="B140" s="642" t="s">
        <v>674</v>
      </c>
      <c r="C140" s="641"/>
      <c r="D140" s="641"/>
      <c r="E140" s="641"/>
      <c r="F140" s="641"/>
    </row>
    <row r="141" spans="1:6" ht="13.8" thickBot="1">
      <c r="A141" s="1033"/>
      <c r="B141" s="642" t="s">
        <v>675</v>
      </c>
      <c r="C141" s="643" t="s">
        <v>103</v>
      </c>
      <c r="D141" s="643">
        <v>1</v>
      </c>
      <c r="E141" s="1007">
        <f>'CE &amp; Other Hours'!D31</f>
        <v>0</v>
      </c>
      <c r="F141" s="665">
        <f>E141</f>
        <v>0</v>
      </c>
    </row>
    <row r="142" spans="1:6" ht="13.8" thickBot="1">
      <c r="A142" s="636"/>
      <c r="B142" s="657" t="s">
        <v>485</v>
      </c>
      <c r="C142" s="658"/>
      <c r="D142" s="658"/>
      <c r="E142" s="658"/>
      <c r="F142" s="659">
        <f>SUM(F140:F141)</f>
        <v>0</v>
      </c>
    </row>
    <row r="143" spans="1:6">
      <c r="A143" s="927"/>
      <c r="B143" s="928"/>
      <c r="C143" s="928"/>
      <c r="D143" s="928"/>
      <c r="E143" s="928"/>
      <c r="F143" s="929"/>
    </row>
    <row r="145" spans="1:6" ht="14.4">
      <c r="A145"/>
      <c r="B145" t="s">
        <v>629</v>
      </c>
      <c r="C145"/>
      <c r="D145"/>
      <c r="E145"/>
      <c r="F145" s="830">
        <f>SUMIFS($F$14:$F$144,$C$14:$C$144,"Prime cost")+SUMIFS($F$14:$F$144,$C$14:$C$144,"prov. sum")</f>
        <v>19406000</v>
      </c>
    </row>
    <row r="146" spans="1:6" ht="14.4">
      <c r="A146"/>
      <c r="B146" t="s">
        <v>630</v>
      </c>
      <c r="C146"/>
      <c r="D146"/>
      <c r="E146"/>
      <c r="F146" s="830">
        <f>SUMIFS($F$14:$F$144,$B$14:$B$144,"*Handling cost*")+SUMIFS($F$14:$F$144,$B$14:$B$144,"*Mark-up*")</f>
        <v>0</v>
      </c>
    </row>
    <row r="147" spans="1:6" ht="15" thickBot="1">
      <c r="A147"/>
      <c r="B147" s="831" t="s">
        <v>631</v>
      </c>
      <c r="C147" s="831"/>
      <c r="D147" s="831"/>
      <c r="E147" s="831"/>
      <c r="F147" s="832">
        <f>SUM(F145:F146)</f>
        <v>19406000</v>
      </c>
    </row>
    <row r="148" spans="1:6" ht="13.8" thickTop="1"/>
    <row r="149" spans="1:6" ht="28.2" customHeight="1">
      <c r="A149" s="1036" t="s">
        <v>707</v>
      </c>
      <c r="B149" s="1036"/>
      <c r="C149" s="1036"/>
      <c r="D149" s="1036"/>
      <c r="E149" s="1036"/>
      <c r="F149" s="830">
        <f>F161-F147</f>
        <v>2800500</v>
      </c>
    </row>
    <row r="151" spans="1:6">
      <c r="A151" s="630" t="s">
        <v>556</v>
      </c>
      <c r="B151" s="630" t="s">
        <v>557</v>
      </c>
      <c r="F151" s="884" t="str">
        <f>'TENDERER INPUT DATA'!$G$3</f>
        <v>ORIGINAL TENDER</v>
      </c>
    </row>
    <row r="153" spans="1:6" ht="24.9" customHeight="1">
      <c r="A153" s="722">
        <f>A13</f>
        <v>3200</v>
      </c>
      <c r="B153" s="723" t="str">
        <f>B13</f>
        <v>DETAILED ASSESSMENT PHASE</v>
      </c>
      <c r="C153" s="724"/>
      <c r="D153" s="725"/>
      <c r="E153" s="726"/>
      <c r="F153" s="727">
        <f>F32</f>
        <v>201000</v>
      </c>
    </row>
    <row r="154" spans="1:6" ht="24.9" customHeight="1">
      <c r="A154" s="722">
        <f>A35</f>
        <v>3300</v>
      </c>
      <c r="B154" s="723" t="str">
        <f>B35</f>
        <v>TENDER DOCUMENTATION</v>
      </c>
      <c r="C154" s="724"/>
      <c r="D154" s="725"/>
      <c r="E154" s="726"/>
      <c r="F154" s="727">
        <f>F39</f>
        <v>0</v>
      </c>
    </row>
    <row r="155" spans="1:6" ht="24.9" customHeight="1">
      <c r="A155" s="722">
        <f>A42</f>
        <v>3400</v>
      </c>
      <c r="B155" s="723" t="str">
        <f>B42</f>
        <v>SITE INSPECTION AND TENDER PERIOD</v>
      </c>
      <c r="C155" s="724"/>
      <c r="D155" s="725"/>
      <c r="E155" s="726"/>
      <c r="F155" s="727">
        <f>F51</f>
        <v>15000</v>
      </c>
    </row>
    <row r="156" spans="1:6" ht="24.9" customHeight="1">
      <c r="A156" s="722">
        <f>A54</f>
        <v>3500</v>
      </c>
      <c r="B156" s="723" t="str">
        <f>B54</f>
        <v>ADMINISTRATION &amp; MONITORING OF WORKS CONTRACT</v>
      </c>
      <c r="C156" s="724"/>
      <c r="D156" s="725"/>
      <c r="E156" s="726"/>
      <c r="F156" s="727">
        <f>F99</f>
        <v>16890000</v>
      </c>
    </row>
    <row r="157" spans="1:6" ht="24.9" customHeight="1">
      <c r="A157" s="722">
        <f>A102</f>
        <v>3600</v>
      </c>
      <c r="B157" s="723" t="str">
        <f>B102</f>
        <v>ADDITIONAL DUTIES</v>
      </c>
      <c r="C157" s="724"/>
      <c r="D157" s="725"/>
      <c r="E157" s="726"/>
      <c r="F157" s="727">
        <f>F128</f>
        <v>4900500</v>
      </c>
    </row>
    <row r="158" spans="1:6" ht="24.9" customHeight="1">
      <c r="A158" s="722">
        <f>A131</f>
        <v>3700</v>
      </c>
      <c r="B158" s="723" t="str">
        <f>B131</f>
        <v>OFF-SITE MATERIALS TESTING</v>
      </c>
      <c r="C158" s="724"/>
      <c r="D158" s="725"/>
      <c r="E158" s="726"/>
      <c r="F158" s="727">
        <f>F135</f>
        <v>200000</v>
      </c>
    </row>
    <row r="159" spans="1:6" ht="24.9" customHeight="1">
      <c r="A159" s="722">
        <f>A138</f>
        <v>3800</v>
      </c>
      <c r="B159" s="723" t="str">
        <f>B138</f>
        <v>CLOSE OUT</v>
      </c>
      <c r="C159" s="724"/>
      <c r="D159" s="725"/>
      <c r="E159" s="726"/>
      <c r="F159" s="727">
        <f>F142</f>
        <v>0</v>
      </c>
    </row>
    <row r="161" spans="2:6">
      <c r="B161" s="628" t="s">
        <v>96</v>
      </c>
      <c r="F161" s="728">
        <f>SUM(F153:F160)</f>
        <v>22206500</v>
      </c>
    </row>
    <row r="162" spans="2:6">
      <c r="F162" s="729"/>
    </row>
    <row r="163" spans="2:6">
      <c r="B163" s="628" t="str">
        <f>"VAT (" &amp; 'TENDERER INPUT DATA'!D40*100 &amp; "%)"</f>
        <v>VAT (15%)</v>
      </c>
      <c r="F163" s="728">
        <f>F161*'TENDERER INPUT DATA'!$D$40</f>
        <v>3330975</v>
      </c>
    </row>
    <row r="164" spans="2:6">
      <c r="F164" s="729"/>
    </row>
    <row r="165" spans="2:6">
      <c r="B165" s="630" t="s">
        <v>558</v>
      </c>
      <c r="F165" s="730">
        <f>SUM(F161:F163)</f>
        <v>25537475</v>
      </c>
    </row>
  </sheetData>
  <sheetProtection algorithmName="SHA-512" hashValue="qP63y4kfELALvdKsBy2kPyeBIloGlxcje+BgSvjyVwNw8hdAXm6h/7GX+AArtjcgegYAxP0sTCC2CzTCmQk54A==" saltValue="6CyHJ/2ApeQTIAPwhORPmA==" spinCount="100000" sheet="1" objects="1" scenarios="1"/>
  <mergeCells count="24">
    <mergeCell ref="A149:E149"/>
    <mergeCell ref="A140:A141"/>
    <mergeCell ref="A133:A134"/>
    <mergeCell ref="A84:A87"/>
    <mergeCell ref="A104:A107"/>
    <mergeCell ref="A111:A112"/>
    <mergeCell ref="A114:A115"/>
    <mergeCell ref="A117:A123"/>
    <mergeCell ref="A124:A127"/>
    <mergeCell ref="A89:A98"/>
    <mergeCell ref="A81:A83"/>
    <mergeCell ref="A1:C1"/>
    <mergeCell ref="A3:B3"/>
    <mergeCell ref="C3:E3"/>
    <mergeCell ref="A5:F5"/>
    <mergeCell ref="A15:A17"/>
    <mergeCell ref="A37:A38"/>
    <mergeCell ref="A44:A46"/>
    <mergeCell ref="A48:A49"/>
    <mergeCell ref="A56:A59"/>
    <mergeCell ref="A67:A69"/>
    <mergeCell ref="A71:A79"/>
    <mergeCell ref="C7:F7"/>
    <mergeCell ref="A8:F8"/>
  </mergeCells>
  <conditionalFormatting sqref="B20">
    <cfRule type="expression" dxfId="190" priority="52">
      <formula>G20="n"</formula>
    </cfRule>
  </conditionalFormatting>
  <conditionalFormatting sqref="B20">
    <cfRule type="expression" dxfId="189" priority="51">
      <formula>G20="n"</formula>
    </cfRule>
  </conditionalFormatting>
  <conditionalFormatting sqref="B21">
    <cfRule type="expression" dxfId="188" priority="50">
      <formula>G21="n"</formula>
    </cfRule>
  </conditionalFormatting>
  <conditionalFormatting sqref="B21">
    <cfRule type="expression" dxfId="187" priority="49">
      <formula>G21="n"</formula>
    </cfRule>
  </conditionalFormatting>
  <conditionalFormatting sqref="A23">
    <cfRule type="expression" dxfId="186" priority="48">
      <formula>G23="n"</formula>
    </cfRule>
  </conditionalFormatting>
  <conditionalFormatting sqref="B23">
    <cfRule type="expression" dxfId="185" priority="47">
      <formula>G23="n"</formula>
    </cfRule>
  </conditionalFormatting>
  <conditionalFormatting sqref="A23">
    <cfRule type="expression" dxfId="184" priority="45">
      <formula>G23="n"</formula>
    </cfRule>
  </conditionalFormatting>
  <conditionalFormatting sqref="B23">
    <cfRule type="expression" dxfId="183" priority="44">
      <formula>G23="n"</formula>
    </cfRule>
  </conditionalFormatting>
  <conditionalFormatting sqref="A24">
    <cfRule type="expression" dxfId="182" priority="42">
      <formula>G24="n"</formula>
    </cfRule>
  </conditionalFormatting>
  <conditionalFormatting sqref="B24">
    <cfRule type="expression" dxfId="181" priority="41">
      <formula>G24="n"</formula>
    </cfRule>
  </conditionalFormatting>
  <conditionalFormatting sqref="A24">
    <cfRule type="expression" dxfId="180" priority="40">
      <formula>G24="n"</formula>
    </cfRule>
  </conditionalFormatting>
  <conditionalFormatting sqref="B24">
    <cfRule type="expression" dxfId="179" priority="39">
      <formula>G24="n"</formula>
    </cfRule>
  </conditionalFormatting>
  <conditionalFormatting sqref="A25">
    <cfRule type="expression" dxfId="178" priority="38">
      <formula>G25="n"</formula>
    </cfRule>
  </conditionalFormatting>
  <conditionalFormatting sqref="B25">
    <cfRule type="expression" dxfId="177" priority="37">
      <formula>G25="n"</formula>
    </cfRule>
  </conditionalFormatting>
  <conditionalFormatting sqref="A25">
    <cfRule type="expression" dxfId="176" priority="35">
      <formula>G25="n"</formula>
    </cfRule>
  </conditionalFormatting>
  <conditionalFormatting sqref="B25">
    <cfRule type="expression" dxfId="175" priority="34">
      <formula>G25="n"</formula>
    </cfRule>
  </conditionalFormatting>
  <conditionalFormatting sqref="A26">
    <cfRule type="expression" dxfId="174" priority="32">
      <formula>G26="n"</formula>
    </cfRule>
  </conditionalFormatting>
  <conditionalFormatting sqref="B26">
    <cfRule type="expression" dxfId="173" priority="31">
      <formula>G26="n"</formula>
    </cfRule>
  </conditionalFormatting>
  <conditionalFormatting sqref="C26">
    <cfRule type="expression" dxfId="172" priority="30">
      <formula>G26="n"</formula>
    </cfRule>
  </conditionalFormatting>
  <conditionalFormatting sqref="A26">
    <cfRule type="expression" dxfId="171" priority="29">
      <formula>G26="n"</formula>
    </cfRule>
  </conditionalFormatting>
  <conditionalFormatting sqref="B26">
    <cfRule type="expression" dxfId="170" priority="28">
      <formula>G26="n"</formula>
    </cfRule>
  </conditionalFormatting>
  <conditionalFormatting sqref="C26">
    <cfRule type="expression" dxfId="169" priority="27">
      <formula>G26="n"</formula>
    </cfRule>
  </conditionalFormatting>
  <conditionalFormatting sqref="A27">
    <cfRule type="expression" dxfId="168" priority="26">
      <formula>G27="n"</formula>
    </cfRule>
  </conditionalFormatting>
  <conditionalFormatting sqref="B27">
    <cfRule type="expression" dxfId="167" priority="25">
      <formula>G27="n"</formula>
    </cfRule>
  </conditionalFormatting>
  <conditionalFormatting sqref="C27">
    <cfRule type="expression" dxfId="166" priority="24">
      <formula>G27="n"</formula>
    </cfRule>
  </conditionalFormatting>
  <conditionalFormatting sqref="A27">
    <cfRule type="expression" dxfId="165" priority="23">
      <formula>G27="n"</formula>
    </cfRule>
  </conditionalFormatting>
  <conditionalFormatting sqref="B27">
    <cfRule type="expression" dxfId="164" priority="22">
      <formula>G27="n"</formula>
    </cfRule>
  </conditionalFormatting>
  <conditionalFormatting sqref="C27">
    <cfRule type="expression" dxfId="163" priority="21">
      <formula>G27="n"</formula>
    </cfRule>
  </conditionalFormatting>
  <conditionalFormatting sqref="A28">
    <cfRule type="expression" dxfId="162" priority="20">
      <formula>G28="n"</formula>
    </cfRule>
  </conditionalFormatting>
  <conditionalFormatting sqref="B28">
    <cfRule type="expression" dxfId="161" priority="19">
      <formula>G28="n"</formula>
    </cfRule>
  </conditionalFormatting>
  <conditionalFormatting sqref="C28">
    <cfRule type="expression" dxfId="160" priority="18">
      <formula>G28="n"</formula>
    </cfRule>
  </conditionalFormatting>
  <conditionalFormatting sqref="A28">
    <cfRule type="expression" dxfId="159" priority="17">
      <formula>G28="n"</formula>
    </cfRule>
  </conditionalFormatting>
  <conditionalFormatting sqref="B28">
    <cfRule type="expression" dxfId="158" priority="16">
      <formula>G28="n"</formula>
    </cfRule>
  </conditionalFormatting>
  <conditionalFormatting sqref="C28">
    <cfRule type="expression" dxfId="157" priority="15">
      <formula>G28="n"</formula>
    </cfRule>
  </conditionalFormatting>
  <conditionalFormatting sqref="A30">
    <cfRule type="expression" dxfId="156" priority="14">
      <formula>G30="n"</formula>
    </cfRule>
  </conditionalFormatting>
  <conditionalFormatting sqref="B30">
    <cfRule type="expression" dxfId="155" priority="13">
      <formula>G30="n"</formula>
    </cfRule>
  </conditionalFormatting>
  <conditionalFormatting sqref="C30">
    <cfRule type="expression" dxfId="154" priority="12">
      <formula>G30="n"</formula>
    </cfRule>
  </conditionalFormatting>
  <conditionalFormatting sqref="A30">
    <cfRule type="expression" dxfId="153" priority="11">
      <formula>G30="n"</formula>
    </cfRule>
  </conditionalFormatting>
  <conditionalFormatting sqref="B30">
    <cfRule type="expression" dxfId="152" priority="10">
      <formula>G30="n"</formula>
    </cfRule>
  </conditionalFormatting>
  <conditionalFormatting sqref="C30">
    <cfRule type="expression" dxfId="151" priority="9">
      <formula>G30="n"</formula>
    </cfRule>
  </conditionalFormatting>
  <conditionalFormatting sqref="A31">
    <cfRule type="expression" dxfId="150" priority="8">
      <formula>G31="n"</formula>
    </cfRule>
  </conditionalFormatting>
  <conditionalFormatting sqref="B31">
    <cfRule type="expression" dxfId="149" priority="7">
      <formula>G31="n"</formula>
    </cfRule>
  </conditionalFormatting>
  <conditionalFormatting sqref="C31">
    <cfRule type="expression" dxfId="148" priority="6">
      <formula>G31="n"</formula>
    </cfRule>
  </conditionalFormatting>
  <conditionalFormatting sqref="A31">
    <cfRule type="expression" dxfId="147" priority="5">
      <formula>G31="n"</formula>
    </cfRule>
  </conditionalFormatting>
  <conditionalFormatting sqref="B31">
    <cfRule type="expression" dxfId="146" priority="4">
      <formula>G31="n"</formula>
    </cfRule>
  </conditionalFormatting>
  <conditionalFormatting sqref="C31">
    <cfRule type="expression" dxfId="145" priority="3">
      <formula>G31="n"</formula>
    </cfRule>
  </conditionalFormatting>
  <pageMargins left="0.23622047244094491" right="0.23622047244094491" top="0.74803149606299213" bottom="0.74803149606299213" header="0.31496062992125984" footer="0.31496062992125984"/>
  <pageSetup paperSize="9" scale="89" fitToHeight="0" orientation="portrait" r:id="rId1"/>
  <headerFooter>
    <oddHeader>&amp;L&amp;"Calibri"&amp;10&amp;K000000 Sensitivity - General&amp;1#_x000D_</oddHeader>
  </headerFooter>
  <rowBreaks count="3" manualBreakCount="3">
    <brk id="52" max="16383" man="1"/>
    <brk id="83" max="16383" man="1"/>
    <brk id="128" max="16383"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2BBBA-4E6A-444A-A61C-27E059608BDD}">
  <sheetPr codeName="Sheet2">
    <tabColor rgb="FFFF0000"/>
    <pageSetUpPr fitToPage="1"/>
  </sheetPr>
  <dimension ref="B1:H36"/>
  <sheetViews>
    <sheetView zoomScale="106" workbookViewId="0">
      <selection activeCell="E14" sqref="E14"/>
    </sheetView>
  </sheetViews>
  <sheetFormatPr defaultRowHeight="14.4"/>
  <cols>
    <col min="1" max="1" width="1.5546875" customWidth="1"/>
    <col min="2" max="2" width="12" customWidth="1"/>
    <col min="3" max="3" width="48.88671875" customWidth="1"/>
    <col min="4" max="4" width="16.109375" style="752" customWidth="1"/>
    <col min="5" max="5" width="14.109375" style="752" customWidth="1"/>
    <col min="6" max="6" width="12" style="753" customWidth="1"/>
    <col min="7" max="7" width="15.5546875" customWidth="1"/>
    <col min="8" max="8" width="17.109375" customWidth="1"/>
    <col min="10" max="10" width="14.6640625" customWidth="1"/>
  </cols>
  <sheetData>
    <row r="1" spans="2:8" ht="23.4">
      <c r="B1" s="777" t="str">
        <f>'PROJECT INPUT DATA'!D3</f>
        <v>X.002-180-2024/1RF</v>
      </c>
      <c r="F1" s="777" t="s">
        <v>676</v>
      </c>
    </row>
    <row r="2" spans="2:8" s="1" customFormat="1" ht="28.8">
      <c r="C2" s="778" t="str">
        <f>IF('RRM Pricing Schedule'!C7="","PLEASE INSERT TENDERER NAME AT TOP OF RRM PRICING SCHEDULE TAB",'RRM Pricing Schedule'!C7)</f>
        <v>Please Insert Tenderer Name on TENDERER INPUT DATA TAB</v>
      </c>
      <c r="D2" s="2"/>
      <c r="E2" s="4" t="s">
        <v>617</v>
      </c>
      <c r="F2" s="755"/>
    </row>
    <row r="3" spans="2:8">
      <c r="H3" s="884" t="str">
        <f>'TENDERER INPUT DATA'!$G$3</f>
        <v>ORIGINAL TENDER</v>
      </c>
    </row>
    <row r="4" spans="2:8" ht="15" thickBot="1">
      <c r="B4" s="779" t="s">
        <v>0</v>
      </c>
      <c r="C4" s="779"/>
      <c r="D4" s="780" t="s">
        <v>1</v>
      </c>
      <c r="E4" s="780" t="s">
        <v>2</v>
      </c>
      <c r="F4" s="781" t="s">
        <v>3</v>
      </c>
      <c r="G4" s="779"/>
      <c r="H4" s="779" t="s">
        <v>604</v>
      </c>
    </row>
    <row r="5" spans="2:8" ht="15" thickBot="1">
      <c r="B5" s="782" t="s">
        <v>605</v>
      </c>
      <c r="C5" s="783"/>
      <c r="D5" s="784"/>
      <c r="E5" s="784"/>
      <c r="F5" s="785"/>
      <c r="G5" s="783"/>
      <c r="H5" s="786"/>
    </row>
    <row r="6" spans="2:8" ht="15" thickBot="1">
      <c r="B6" s="787" t="s">
        <v>606</v>
      </c>
      <c r="C6" s="788" t="s">
        <v>607</v>
      </c>
      <c r="D6" s="789" t="s">
        <v>608</v>
      </c>
      <c r="E6" s="790">
        <f>ROUND((E7*(F7/F16)+E10*(F10/F16)+E13*(F13/F16)+E16),2)</f>
        <v>0</v>
      </c>
      <c r="F6" s="791" t="str">
        <f>"Norm. Hours"</f>
        <v>Norm. Hours</v>
      </c>
      <c r="G6" s="792"/>
      <c r="H6" s="793">
        <f>ROUND(SUM(H7:H18),2)</f>
        <v>0</v>
      </c>
    </row>
    <row r="7" spans="2:8">
      <c r="B7" s="794" t="s">
        <v>609</v>
      </c>
      <c r="C7" s="795"/>
      <c r="D7" s="796" t="s">
        <v>610</v>
      </c>
      <c r="E7" s="797">
        <f>SUM(E8:E9)</f>
        <v>0</v>
      </c>
      <c r="F7" s="798">
        <f>'TENDERER INPUT DATA'!D32</f>
        <v>3534</v>
      </c>
      <c r="G7" s="799"/>
      <c r="H7" s="800">
        <f>E7*F7</f>
        <v>0</v>
      </c>
    </row>
    <row r="8" spans="2:8">
      <c r="B8" s="7" t="str">
        <f>IF('TENDERER INPUT DATA'!B16="","",'TENDERER INPUT DATA'!B16)</f>
        <v>CE</v>
      </c>
      <c r="C8" s="801" t="str">
        <f>IF('TENDERER INPUT DATA'!$C$16="","Please Insert CE name on Tenderer Input Data Tab",('TENDERER INPUT DATA'!$C$16))</f>
        <v>Please Insert CE name on Tenderer Input Data Tab</v>
      </c>
      <c r="D8" s="801"/>
      <c r="E8" s="802"/>
      <c r="F8" s="803">
        <f>IF(B8="","",$F$7)</f>
        <v>3534</v>
      </c>
      <c r="G8" s="804">
        <f>IF(B8="","",(F8*E8))</f>
        <v>0</v>
      </c>
      <c r="H8" s="805"/>
    </row>
    <row r="9" spans="2:8" ht="15" thickBot="1">
      <c r="B9" s="7" t="str">
        <f>IF('TENDERER INPUT DATA'!B17="","",'TENDERER INPUT DATA'!B17)</f>
        <v>OTHER</v>
      </c>
      <c r="C9" s="801" t="str">
        <f>IF('TENDERER INPUT DATA'!$C$17="","Please Insert  name on Tenderer Input Data Tab",('TENDERER INPUT DATA'!$C$17))</f>
        <v>NO NAMES REQUIRED</v>
      </c>
      <c r="D9" s="801"/>
      <c r="E9" s="802"/>
      <c r="F9" s="803">
        <f>IF(B9="","",$F$7)</f>
        <v>3534</v>
      </c>
      <c r="G9" s="804">
        <f>IF(B9="","",(F9*E9))</f>
        <v>0</v>
      </c>
      <c r="H9" s="805"/>
    </row>
    <row r="10" spans="2:8">
      <c r="B10" s="794" t="s">
        <v>611</v>
      </c>
      <c r="C10" s="795"/>
      <c r="D10" s="796" t="s">
        <v>610</v>
      </c>
      <c r="E10" s="797">
        <f>SUM(E11:E12)</f>
        <v>0</v>
      </c>
      <c r="F10" s="798">
        <f>'TENDERER INPUT DATA'!D33</f>
        <v>2796</v>
      </c>
      <c r="G10" s="799"/>
      <c r="H10" s="800">
        <f>E10*F10</f>
        <v>0</v>
      </c>
    </row>
    <row r="11" spans="2:8">
      <c r="B11" s="7" t="str">
        <f>B8</f>
        <v>CE</v>
      </c>
      <c r="C11" s="801" t="str">
        <f>C8</f>
        <v>Please Insert CE name on Tenderer Input Data Tab</v>
      </c>
      <c r="D11" s="801"/>
      <c r="E11" s="802"/>
      <c r="F11" s="803">
        <f>IF(B11="","",$F$10)</f>
        <v>2796</v>
      </c>
      <c r="G11" s="804">
        <f>IF(B11="","",(F11*E11))</f>
        <v>0</v>
      </c>
      <c r="H11" s="805"/>
    </row>
    <row r="12" spans="2:8" ht="15" thickBot="1">
      <c r="B12" s="7" t="str">
        <f>B9</f>
        <v>OTHER</v>
      </c>
      <c r="C12" s="801" t="str">
        <f>C9</f>
        <v>NO NAMES REQUIRED</v>
      </c>
      <c r="D12" s="801"/>
      <c r="E12" s="802"/>
      <c r="F12" s="803">
        <f>IF(B12="","",$F$10)</f>
        <v>2796</v>
      </c>
      <c r="G12" s="804">
        <f>IF(B12="","",(F12*E12))</f>
        <v>0</v>
      </c>
      <c r="H12" s="805"/>
    </row>
    <row r="13" spans="2:8">
      <c r="B13" s="794" t="s">
        <v>612</v>
      </c>
      <c r="C13" s="795"/>
      <c r="D13" s="796" t="s">
        <v>610</v>
      </c>
      <c r="E13" s="797">
        <f>SUM(E14:E15)</f>
        <v>0</v>
      </c>
      <c r="F13" s="798">
        <f>'TENDERER INPUT DATA'!D34</f>
        <v>2403</v>
      </c>
      <c r="G13" s="799"/>
      <c r="H13" s="800">
        <f>E13*F13</f>
        <v>0</v>
      </c>
    </row>
    <row r="14" spans="2:8">
      <c r="B14" s="7" t="str">
        <f>B8</f>
        <v>CE</v>
      </c>
      <c r="C14" s="801" t="str">
        <f>C8</f>
        <v>Please Insert CE name on Tenderer Input Data Tab</v>
      </c>
      <c r="D14" s="806"/>
      <c r="E14" s="802"/>
      <c r="F14" s="803">
        <f>IF(B14="","",$F$13)</f>
        <v>2403</v>
      </c>
      <c r="G14" s="807">
        <f>IF(B14="","",(F14*E14))</f>
        <v>0</v>
      </c>
      <c r="H14" s="808"/>
    </row>
    <row r="15" spans="2:8" ht="15" thickBot="1">
      <c r="B15" s="7" t="str">
        <f>B9</f>
        <v>OTHER</v>
      </c>
      <c r="C15" s="801" t="str">
        <f>C9</f>
        <v>NO NAMES REQUIRED</v>
      </c>
      <c r="D15" s="806"/>
      <c r="E15" s="802"/>
      <c r="F15" s="803">
        <f>IF(B15="","",$F$13)</f>
        <v>2403</v>
      </c>
      <c r="G15" s="807">
        <f>IF(B15="","",(F15*E15))</f>
        <v>0</v>
      </c>
      <c r="H15" s="808"/>
    </row>
    <row r="16" spans="2:8">
      <c r="B16" s="794" t="s">
        <v>613</v>
      </c>
      <c r="C16" s="795"/>
      <c r="D16" s="796" t="s">
        <v>610</v>
      </c>
      <c r="E16" s="797">
        <f>SUM(E17:E18)</f>
        <v>0</v>
      </c>
      <c r="F16" s="798">
        <f>'TENDERER INPUT DATA'!D35</f>
        <v>1167</v>
      </c>
      <c r="G16" s="799"/>
      <c r="H16" s="800">
        <f>E16*F16</f>
        <v>0</v>
      </c>
    </row>
    <row r="17" spans="2:8">
      <c r="B17" s="7" t="str">
        <f>B8</f>
        <v>CE</v>
      </c>
      <c r="C17" s="801" t="str">
        <f>C8</f>
        <v>Please Insert CE name on Tenderer Input Data Tab</v>
      </c>
      <c r="D17" s="806"/>
      <c r="E17" s="802"/>
      <c r="F17" s="803">
        <f>IF(B17="","",$F$16)</f>
        <v>1167</v>
      </c>
      <c r="G17" s="807">
        <f>IF(B17="","",(F17*E17))</f>
        <v>0</v>
      </c>
      <c r="H17" s="808"/>
    </row>
    <row r="18" spans="2:8" ht="15" thickBot="1">
      <c r="B18" s="8" t="str">
        <f>B9</f>
        <v>OTHER</v>
      </c>
      <c r="C18" s="763" t="str">
        <f>C9</f>
        <v>NO NAMES REQUIRED</v>
      </c>
      <c r="D18" s="809"/>
      <c r="E18" s="810"/>
      <c r="F18" s="811">
        <f>IF(B18="","",$F$16)</f>
        <v>1167</v>
      </c>
      <c r="G18" s="812">
        <f>IF(B18="","",(F18*E18))</f>
        <v>0</v>
      </c>
      <c r="H18" s="813"/>
    </row>
    <row r="20" spans="2:8" s="1" customFormat="1">
      <c r="C20" s="814" t="s">
        <v>614</v>
      </c>
      <c r="D20" s="2">
        <f>E6</f>
        <v>0</v>
      </c>
      <c r="E20" s="2"/>
      <c r="F20" s="755"/>
    </row>
    <row r="21" spans="2:8" s="1" customFormat="1">
      <c r="C21" s="815" t="s">
        <v>669</v>
      </c>
      <c r="D21" s="930">
        <f>H6</f>
        <v>0</v>
      </c>
      <c r="E21" s="2"/>
      <c r="F21" s="755"/>
    </row>
    <row r="22" spans="2:8" s="1" customFormat="1" ht="15" thickBot="1">
      <c r="C22" s="815"/>
      <c r="D22" s="930"/>
      <c r="E22" s="2"/>
      <c r="F22" s="755"/>
    </row>
    <row r="23" spans="2:8" s="1" customFormat="1" ht="34.200000000000003" customHeight="1">
      <c r="C23" s="1076" t="s">
        <v>702</v>
      </c>
      <c r="D23" s="1078" t="s">
        <v>703</v>
      </c>
      <c r="E23" s="1080" t="s">
        <v>704</v>
      </c>
      <c r="F23" s="1008" t="s">
        <v>85</v>
      </c>
      <c r="G23" s="1082" t="s">
        <v>221</v>
      </c>
    </row>
    <row r="24" spans="2:8" s="1" customFormat="1" ht="33" customHeight="1" thickBot="1">
      <c r="C24" s="1077"/>
      <c r="D24" s="1079"/>
      <c r="E24" s="1081"/>
      <c r="F24" s="1009" t="s">
        <v>705</v>
      </c>
      <c r="G24" s="1083"/>
    </row>
    <row r="25" spans="2:8" s="1" customFormat="1" ht="22.2" customHeight="1" thickBot="1">
      <c r="C25" s="1010" t="s">
        <v>706</v>
      </c>
      <c r="D25" s="1004">
        <v>0.15</v>
      </c>
      <c r="E25" s="1004">
        <v>0.83</v>
      </c>
      <c r="F25" s="1004">
        <v>0.02</v>
      </c>
      <c r="G25" s="1005">
        <f>SUM(D25:F25)</f>
        <v>1</v>
      </c>
    </row>
    <row r="26" spans="2:8" s="1" customFormat="1">
      <c r="C26" s="815"/>
      <c r="D26" s="930"/>
      <c r="E26" s="2"/>
      <c r="F26" s="755"/>
    </row>
    <row r="27" spans="2:8" s="1" customFormat="1">
      <c r="C27" s="999" t="s">
        <v>697</v>
      </c>
      <c r="D27" s="1000">
        <f>ROUND(D21*7.5%,2)</f>
        <v>0</v>
      </c>
      <c r="E27" s="2"/>
      <c r="F27" s="755"/>
    </row>
    <row r="28" spans="2:8" s="1" customFormat="1">
      <c r="C28" s="999" t="s">
        <v>698</v>
      </c>
      <c r="D28" s="1001">
        <f>ROUND(D21*7.5%,2)</f>
        <v>0</v>
      </c>
      <c r="E28" s="2"/>
      <c r="F28" s="755"/>
    </row>
    <row r="29" spans="2:8" s="1" customFormat="1">
      <c r="E29" s="2"/>
      <c r="F29" s="755"/>
    </row>
    <row r="30" spans="2:8" s="1" customFormat="1">
      <c r="C30" s="814" t="s">
        <v>670</v>
      </c>
      <c r="D30" s="924">
        <f>ROUND(D21*83%,2)</f>
        <v>0</v>
      </c>
      <c r="E30" s="2"/>
      <c r="F30" s="755"/>
    </row>
    <row r="31" spans="2:8">
      <c r="C31" s="769" t="s">
        <v>699</v>
      </c>
      <c r="D31" s="1006">
        <f>ROUND(D21*2%,2)</f>
        <v>0</v>
      </c>
    </row>
    <row r="33" spans="3:4">
      <c r="C33" s="814" t="s">
        <v>615</v>
      </c>
      <c r="D33" s="2">
        <f>'TENDERER INPUT DATA'!$D$46</f>
        <v>60</v>
      </c>
    </row>
    <row r="34" spans="3:4">
      <c r="C34" s="815" t="s">
        <v>616</v>
      </c>
      <c r="D34" s="816">
        <f>ROUND(D30/D33,2)</f>
        <v>0</v>
      </c>
    </row>
    <row r="36" spans="3:4">
      <c r="C36" s="815"/>
    </row>
  </sheetData>
  <sheetProtection algorithmName="SHA-512" hashValue="rPD2/cEijwbnXd9FA9kjLr60M/JzM0CHHHXHvvSaRQk9BHymRr8bVJ2JcoHu4nVN4wdUcg7DMXH6y4pjrUz8oQ==" saltValue="BJakCJ7dfbOXPYRjP0gbpg==" spinCount="100000" sheet="1" objects="1" scenarios="1"/>
  <mergeCells count="4">
    <mergeCell ref="C23:C24"/>
    <mergeCell ref="D23:D24"/>
    <mergeCell ref="E23:E24"/>
    <mergeCell ref="G23:G24"/>
  </mergeCells>
  <conditionalFormatting sqref="B8:B9 B11:B12 B14:B15 B17:B18">
    <cfRule type="containsBlanks" dxfId="132" priority="27">
      <formula>LEN(TRIM(B8))=0</formula>
    </cfRule>
  </conditionalFormatting>
  <conditionalFormatting sqref="C8:C9 C11:C12 C14:C15 C17:C18">
    <cfRule type="expression" dxfId="131" priority="26">
      <formula>B8=""</formula>
    </cfRule>
  </conditionalFormatting>
  <conditionalFormatting sqref="C8:C9 C14:C15">
    <cfRule type="expression" dxfId="130" priority="15">
      <formula>B8=""</formula>
    </cfRule>
  </conditionalFormatting>
  <conditionalFormatting sqref="C11:C12">
    <cfRule type="expression" dxfId="129" priority="8">
      <formula>B11=""</formula>
    </cfRule>
  </conditionalFormatting>
  <conditionalFormatting sqref="C17:C18">
    <cfRule type="expression" dxfId="128" priority="3">
      <formula>B17=""</formula>
    </cfRule>
  </conditionalFormatting>
  <conditionalFormatting sqref="D8:D9">
    <cfRule type="expression" dxfId="127" priority="14">
      <formula>B8=""</formula>
    </cfRule>
  </conditionalFormatting>
  <conditionalFormatting sqref="D11:D12">
    <cfRule type="expression" dxfId="126" priority="7">
      <formula>B11=""</formula>
    </cfRule>
  </conditionalFormatting>
  <conditionalFormatting sqref="D14:D15">
    <cfRule type="expression" dxfId="125" priority="23">
      <formula>B14=""</formula>
    </cfRule>
  </conditionalFormatting>
  <conditionalFormatting sqref="D17:D18">
    <cfRule type="expression" dxfId="124" priority="19">
      <formula>B17=""</formula>
    </cfRule>
  </conditionalFormatting>
  <conditionalFormatting sqref="E8:E9">
    <cfRule type="expression" dxfId="123" priority="11">
      <formula>B8=""</formula>
    </cfRule>
  </conditionalFormatting>
  <conditionalFormatting sqref="E9">
    <cfRule type="expression" dxfId="122" priority="13">
      <formula>B9=""</formula>
    </cfRule>
  </conditionalFormatting>
  <conditionalFormatting sqref="E11:E12">
    <cfRule type="expression" dxfId="121" priority="5">
      <formula>B11=""</formula>
    </cfRule>
  </conditionalFormatting>
  <conditionalFormatting sqref="E12">
    <cfRule type="expression" dxfId="120" priority="6">
      <formula>B12=""</formula>
    </cfRule>
  </conditionalFormatting>
  <conditionalFormatting sqref="E14:E15">
    <cfRule type="expression" dxfId="119" priority="21">
      <formula>B14=""</formula>
    </cfRule>
  </conditionalFormatting>
  <conditionalFormatting sqref="E15">
    <cfRule type="expression" dxfId="118" priority="22">
      <formula>B15=""</formula>
    </cfRule>
  </conditionalFormatting>
  <conditionalFormatting sqref="E17:E18">
    <cfRule type="expression" dxfId="117" priority="1">
      <formula>B17=""</formula>
    </cfRule>
  </conditionalFormatting>
  <conditionalFormatting sqref="E18">
    <cfRule type="expression" dxfId="116" priority="2">
      <formula>B18=""</formula>
    </cfRule>
  </conditionalFormatting>
  <conditionalFormatting sqref="F8:F9 F11:F12 F14:F15">
    <cfRule type="expression" dxfId="115" priority="25">
      <formula>B8=""</formula>
    </cfRule>
  </conditionalFormatting>
  <conditionalFormatting sqref="F8:F9 F11:F12">
    <cfRule type="expression" dxfId="114" priority="12">
      <formula>B8=""</formula>
    </cfRule>
  </conditionalFormatting>
  <conditionalFormatting sqref="F17:F18">
    <cfRule type="expression" dxfId="113" priority="18">
      <formula>B17=""</formula>
    </cfRule>
  </conditionalFormatting>
  <conditionalFormatting sqref="G8:G9 G14:G15">
    <cfRule type="expression" dxfId="112" priority="24">
      <formula>B8=""</formula>
    </cfRule>
  </conditionalFormatting>
  <conditionalFormatting sqref="G11:G12">
    <cfRule type="expression" dxfId="111" priority="9">
      <formula>B11=""</formula>
    </cfRule>
  </conditionalFormatting>
  <conditionalFormatting sqref="G17:G18">
    <cfRule type="expression" dxfId="110" priority="17">
      <formula>B17=""</formula>
    </cfRule>
  </conditionalFormatting>
  <conditionalFormatting sqref="H8:H9">
    <cfRule type="expression" dxfId="109" priority="10">
      <formula>B8=""</formula>
    </cfRule>
  </conditionalFormatting>
  <conditionalFormatting sqref="H11:H12">
    <cfRule type="expression" dxfId="108" priority="4">
      <formula>B11=""</formula>
    </cfRule>
  </conditionalFormatting>
  <conditionalFormatting sqref="H14:H15">
    <cfRule type="expression" dxfId="107" priority="20">
      <formula>B14=""</formula>
    </cfRule>
  </conditionalFormatting>
  <conditionalFormatting sqref="H17:H18">
    <cfRule type="expression" dxfId="106" priority="16">
      <formula>B17=""</formula>
    </cfRule>
  </conditionalFormatting>
  <dataValidations count="1">
    <dataValidation type="decimal" operator="greaterThanOrEqual" allowBlank="1" showInputMessage="1" showErrorMessage="1" error="Negative rates or values may not be tendered. Refer to Clause F.2.10 of the tender data." sqref="E17:E18 E11:E12 E14:E15 E8:E9" xr:uid="{44C7012F-8806-461C-93E7-DCD0A4A3A9B6}">
      <formula1>0</formula1>
    </dataValidation>
  </dataValidations>
  <printOptions horizontalCentered="1"/>
  <pageMargins left="0.19685039370078741" right="0.23622047244094491" top="0.51181102362204722" bottom="0.43" header="0.15748031496062992" footer="0.15748031496062992"/>
  <pageSetup paperSize="9" scale="84" orientation="landscape" r:id="rId1"/>
  <headerFooter>
    <oddHeader>&amp;L&amp;"Calibri"&amp;10&amp;K000000Sensitivity - General&amp;1#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27FBE-86E7-4DB6-9C03-FF83E63C74E7}">
  <sheetPr codeName="Sheet4">
    <tabColor rgb="FFFF0000"/>
    <pageSetUpPr fitToPage="1"/>
  </sheetPr>
  <dimension ref="A1:F29"/>
  <sheetViews>
    <sheetView tabSelected="1" workbookViewId="0">
      <selection activeCell="B24" sqref="B24"/>
    </sheetView>
  </sheetViews>
  <sheetFormatPr defaultColWidth="9.109375" defaultRowHeight="13.2"/>
  <cols>
    <col min="1" max="1" width="25.109375" style="834" customWidth="1"/>
    <col min="2" max="2" width="31.88671875" style="834" customWidth="1"/>
    <col min="3" max="3" width="10.6640625" style="834" customWidth="1"/>
    <col min="4" max="5" width="19.5546875" style="834" customWidth="1"/>
    <col min="6" max="16384" width="9.109375" style="834"/>
  </cols>
  <sheetData>
    <row r="1" spans="1:6" ht="17.25" customHeight="1">
      <c r="A1" s="1087" t="s">
        <v>26</v>
      </c>
      <c r="B1" s="1087"/>
      <c r="C1" s="1087"/>
      <c r="D1" s="1087"/>
      <c r="E1" s="1087"/>
      <c r="F1" s="833"/>
    </row>
    <row r="2" spans="1:6" ht="27" customHeight="1">
      <c r="A2" s="835" t="str">
        <f>IF('TENDERER INPUT DATA'!D1="","Please Insert Tenderer Name on TENDERER INPUT DATA TAB",'TENDERER INPUT DATA'!D1)</f>
        <v>Please Insert Tenderer Name on TENDERER INPUT DATA TAB</v>
      </c>
      <c r="C2" s="836"/>
      <c r="D2" s="836"/>
      <c r="E2" s="836"/>
      <c r="F2" s="836"/>
    </row>
    <row r="3" spans="1:6">
      <c r="A3" s="837" t="s">
        <v>105</v>
      </c>
      <c r="B3" s="838" t="str">
        <f>'TENDERER INPUT DATA'!C3</f>
        <v>X.002-180-2024/1RF</v>
      </c>
      <c r="E3" s="884" t="str">
        <f>'TENDERER INPUT DATA'!$G$3</f>
        <v>ORIGINAL TENDER</v>
      </c>
    </row>
    <row r="4" spans="1:6">
      <c r="A4" s="837" t="s">
        <v>104</v>
      </c>
      <c r="B4" s="1088" t="str">
        <f>'TENDERER INPUT DATA'!C6</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C4" s="1088"/>
      <c r="D4" s="1088"/>
      <c r="E4" s="1088"/>
    </row>
    <row r="5" spans="1:6">
      <c r="B5" s="1088"/>
      <c r="C5" s="1088"/>
      <c r="D5" s="1088"/>
      <c r="E5" s="1088"/>
    </row>
    <row r="6" spans="1:6">
      <c r="A6" s="836"/>
      <c r="B6" s="836"/>
      <c r="C6" s="836" t="s">
        <v>724</v>
      </c>
      <c r="D6" s="1096" t="str">
        <f>IF('TENDERER INPUT DATA'!H19="Please Select","Please Make Selection on Input Data Tab",'TENDERER INPUT DATA'!H19)</f>
        <v>Please Make Selection on Input Data Tab</v>
      </c>
      <c r="E6" s="1096"/>
    </row>
    <row r="7" spans="1:6">
      <c r="A7" s="836" t="s">
        <v>632</v>
      </c>
      <c r="B7" s="836"/>
      <c r="C7" s="836"/>
      <c r="D7" s="836"/>
      <c r="E7" s="839"/>
    </row>
    <row r="8" spans="1:6" ht="13.8" thickBot="1">
      <c r="A8" s="840"/>
      <c r="B8" s="841"/>
      <c r="C8" s="841"/>
      <c r="D8" s="842"/>
      <c r="E8" s="842"/>
    </row>
    <row r="9" spans="1:6" ht="24.75" customHeight="1" thickBot="1">
      <c r="A9" s="1089" t="s">
        <v>633</v>
      </c>
      <c r="B9" s="1090"/>
      <c r="C9" s="1090"/>
      <c r="D9" s="1090"/>
      <c r="E9" s="1091"/>
    </row>
    <row r="10" spans="1:6" ht="45" customHeight="1" thickBot="1">
      <c r="A10" s="1092" t="s">
        <v>634</v>
      </c>
      <c r="B10" s="1093"/>
      <c r="C10" s="1093"/>
      <c r="D10" s="1094"/>
      <c r="E10" s="843">
        <f>'CE &amp; Other Hours'!D20</f>
        <v>0</v>
      </c>
    </row>
    <row r="11" spans="1:6" ht="40.5" customHeight="1" thickBot="1">
      <c r="A11" s="1092" t="s">
        <v>635</v>
      </c>
      <c r="B11" s="1093"/>
      <c r="C11" s="1093"/>
      <c r="D11" s="1094"/>
      <c r="E11" s="843">
        <f>C22</f>
        <v>0</v>
      </c>
    </row>
    <row r="12" spans="1:6" ht="17.100000000000001" customHeight="1">
      <c r="A12" s="844"/>
      <c r="B12" s="845"/>
      <c r="C12" s="846"/>
      <c r="D12" s="847"/>
      <c r="E12" s="848"/>
    </row>
    <row r="13" spans="1:6" ht="16.5" customHeight="1">
      <c r="B13" s="849"/>
      <c r="C13" s="850"/>
      <c r="D13" s="851"/>
      <c r="E13" s="852"/>
    </row>
    <row r="14" spans="1:6" ht="16.5" customHeight="1">
      <c r="A14" s="853"/>
      <c r="B14" s="853"/>
      <c r="C14" s="853"/>
      <c r="D14" s="853"/>
      <c r="E14" s="854"/>
    </row>
    <row r="15" spans="1:6" ht="16.5" customHeight="1">
      <c r="A15" s="1095" t="s">
        <v>636</v>
      </c>
      <c r="B15" s="1095"/>
      <c r="C15" s="1095"/>
      <c r="D15" s="1095"/>
      <c r="E15" s="1095"/>
      <c r="F15" s="855"/>
    </row>
    <row r="16" spans="1:6" ht="16.5" customHeight="1" thickBot="1">
      <c r="A16" s="856"/>
      <c r="B16" s="857"/>
      <c r="C16" s="858"/>
      <c r="D16" s="858"/>
      <c r="E16" s="859"/>
      <c r="F16" s="857"/>
    </row>
    <row r="17" spans="1:5" ht="42" customHeight="1" thickBot="1">
      <c r="A17" s="1084" t="s">
        <v>637</v>
      </c>
      <c r="B17" s="1085"/>
      <c r="C17" s="860" t="s">
        <v>638</v>
      </c>
      <c r="D17" s="861" t="s">
        <v>639</v>
      </c>
      <c r="E17" s="862" t="s">
        <v>640</v>
      </c>
    </row>
    <row r="18" spans="1:5" ht="16.5" customHeight="1">
      <c r="A18" s="863" t="s">
        <v>641</v>
      </c>
      <c r="B18" s="864" t="s">
        <v>642</v>
      </c>
      <c r="C18" s="865"/>
      <c r="D18" s="866">
        <f>SUM(D19:D20)</f>
        <v>0</v>
      </c>
      <c r="E18" s="867">
        <f>SUM(E19:E20)</f>
        <v>0</v>
      </c>
    </row>
    <row r="19" spans="1:5" ht="16.5" customHeight="1">
      <c r="A19" s="868" t="str">
        <f>'CE &amp; Other Hours'!B8</f>
        <v>CE</v>
      </c>
      <c r="B19" s="869" t="str">
        <f>'CE &amp; Other Hours'!C8</f>
        <v>Please Insert CE name on Tenderer Input Data Tab</v>
      </c>
      <c r="C19" s="870">
        <f>IFERROR(ROUND(('CE &amp; Other Hours'!E8*('CE &amp; Other Hours'!F8/'CE &amp; Other Hours'!F16)+'CE &amp; Other Hours'!E11*('CE &amp; Other Hours'!F11/'CE &amp; Other Hours'!F16)+'CE &amp; Other Hours'!E14*('CE &amp; Other Hours'!F14/'CE &amp; Other Hours'!F16)+'CE &amp; Other Hours'!E17),2),"")</f>
        <v>0</v>
      </c>
      <c r="D19" s="871" t="str">
        <f>IF(A19="","",IF(C19="","",IF(C19=0,"",(C19/$C$22))))</f>
        <v/>
      </c>
      <c r="E19" s="872" t="str">
        <f>IF(A19="","",IF(C19="","",IF(C19=0,"",(C19/$C$21))))</f>
        <v/>
      </c>
    </row>
    <row r="20" spans="1:5" ht="16.5" customHeight="1">
      <c r="A20" s="868" t="str">
        <f>'CE &amp; Other Hours'!B9</f>
        <v>OTHER</v>
      </c>
      <c r="B20" s="869" t="str">
        <f>'CE &amp; Other Hours'!C9</f>
        <v>NO NAMES REQUIRED</v>
      </c>
      <c r="C20" s="870">
        <f>IFERROR(ROUND(('CE &amp; Other Hours'!E9*('CE &amp; Other Hours'!F9/'CE &amp; Other Hours'!F16)+'CE &amp; Other Hours'!E12*('CE &amp; Other Hours'!F12/'CE &amp; Other Hours'!F16)+'CE &amp; Other Hours'!E15*('CE &amp; Other Hours'!F15/'CE &amp; Other Hours'!F16)+'CE &amp; Other Hours'!E18),2),"")</f>
        <v>0</v>
      </c>
      <c r="D20" s="871" t="str">
        <f>IF(A20="","",IF(C20="","",IF(C20=0,"",(C20/$C$22))))</f>
        <v/>
      </c>
      <c r="E20" s="872" t="str">
        <f>IF(A20="","",IF(C20="","",IF(C20=0,"",(C20/$C$21))))</f>
        <v/>
      </c>
    </row>
    <row r="21" spans="1:5" ht="16.5" customHeight="1">
      <c r="A21" s="873" t="s">
        <v>643</v>
      </c>
      <c r="B21" s="874"/>
      <c r="C21" s="875">
        <f>SUM(C19:C20)</f>
        <v>0</v>
      </c>
      <c r="D21" s="876"/>
    </row>
    <row r="22" spans="1:5" ht="16.5" customHeight="1" thickBot="1">
      <c r="A22" s="877" t="s">
        <v>635</v>
      </c>
      <c r="B22" s="878"/>
      <c r="C22" s="879">
        <f>SUM(C19:C20)</f>
        <v>0</v>
      </c>
      <c r="D22" s="876"/>
    </row>
    <row r="23" spans="1:5" ht="16.5" customHeight="1">
      <c r="A23" s="853"/>
      <c r="B23" s="853"/>
      <c r="C23" s="1016"/>
      <c r="D23" s="876"/>
    </row>
    <row r="24" spans="1:5" s="881" customFormat="1" ht="16.5" customHeight="1">
      <c r="A24" s="1019" t="s">
        <v>728</v>
      </c>
      <c r="B24" s="1020">
        <f>'RRM Pricing Schedule'!F165</f>
        <v>25537475</v>
      </c>
      <c r="C24" s="1021" t="s">
        <v>726</v>
      </c>
      <c r="D24" s="1022" t="s">
        <v>727</v>
      </c>
      <c r="E24" s="1023">
        <f>IF(B24&gt;25000000,3,IF(B24&gt;6000000,2,1))</f>
        <v>3</v>
      </c>
    </row>
    <row r="25" spans="1:5" ht="16.5" customHeight="1">
      <c r="A25" s="853"/>
      <c r="B25" s="1018" t="str">
        <f>IF(E24=1,IF(D6="EME","No Subletting Requirement","30% Normalized Hours to Sublet to ACE is:"),"30% Normalized Hours to Sublet to ACE is:")</f>
        <v>30% Normalized Hours to Sublet to ACE is:</v>
      </c>
      <c r="C25" s="1016">
        <f>IF(E24=1,IF(D6="EME","",ROUND(C19*30%,2)),ROUND(C19*30%,2))</f>
        <v>0</v>
      </c>
      <c r="D25" s="876"/>
    </row>
    <row r="26" spans="1:5" ht="16.5" customHeight="1">
      <c r="A26" s="880"/>
      <c r="B26" s="881"/>
      <c r="C26" s="881"/>
      <c r="D26" s="882"/>
      <c r="E26" s="882"/>
    </row>
    <row r="27" spans="1:5" ht="134.4" customHeight="1">
      <c r="A27" s="1086" t="s">
        <v>722</v>
      </c>
      <c r="B27" s="1086"/>
      <c r="C27" s="1086"/>
      <c r="D27" s="1086"/>
      <c r="E27" s="1086"/>
    </row>
    <row r="28" spans="1:5">
      <c r="A28" s="883"/>
      <c r="B28" s="883"/>
      <c r="C28" s="883"/>
      <c r="D28" s="883"/>
      <c r="E28" s="883"/>
    </row>
    <row r="29" spans="1:5">
      <c r="A29" s="883"/>
      <c r="B29" s="883"/>
      <c r="C29" s="883"/>
      <c r="D29" s="883"/>
      <c r="E29" s="883"/>
    </row>
  </sheetData>
  <sheetProtection algorithmName="SHA-512" hashValue="5nJykfIIj0hCLd7NeNZAHVzq8NghBC8MhIcMyRAbZk5Fh56ylNeQHuWrgaE4wqRADcXlDCnITXGfiDimKVQnEg==" saltValue="yiMKxPN7S1MHNKH9AQFAmg==" spinCount="100000" sheet="1" objects="1" scenarios="1"/>
  <mergeCells count="9">
    <mergeCell ref="A17:B17"/>
    <mergeCell ref="A27:E27"/>
    <mergeCell ref="A1:E1"/>
    <mergeCell ref="B4:E5"/>
    <mergeCell ref="A9:E9"/>
    <mergeCell ref="A10:D10"/>
    <mergeCell ref="A11:D11"/>
    <mergeCell ref="A15:E15"/>
    <mergeCell ref="D6:E6"/>
  </mergeCells>
  <conditionalFormatting sqref="A19:A20">
    <cfRule type="containsBlanks" dxfId="105" priority="8">
      <formula>LEN(TRIM(A19))=0</formula>
    </cfRule>
  </conditionalFormatting>
  <conditionalFormatting sqref="B20">
    <cfRule type="expression" dxfId="104" priority="7">
      <formula>A20=""</formula>
    </cfRule>
  </conditionalFormatting>
  <conditionalFormatting sqref="C19:C20">
    <cfRule type="expression" dxfId="103" priority="3">
      <formula>A19=""</formula>
    </cfRule>
  </conditionalFormatting>
  <conditionalFormatting sqref="C20">
    <cfRule type="expression" dxfId="102" priority="6">
      <formula>A20=""</formula>
    </cfRule>
  </conditionalFormatting>
  <conditionalFormatting sqref="D19:D20">
    <cfRule type="expression" dxfId="101" priority="5">
      <formula>A19=""</formula>
    </cfRule>
  </conditionalFormatting>
  <conditionalFormatting sqref="D20">
    <cfRule type="expression" dxfId="100" priority="4">
      <formula>A20=""</formula>
    </cfRule>
  </conditionalFormatting>
  <conditionalFormatting sqref="D21:D25">
    <cfRule type="cellIs" dxfId="99" priority="9" operator="lessThan">
      <formula>$D$16</formula>
    </cfRule>
  </conditionalFormatting>
  <conditionalFormatting sqref="E19:E20">
    <cfRule type="expression" dxfId="98" priority="2">
      <formula>A19=""</formula>
    </cfRule>
  </conditionalFormatting>
  <conditionalFormatting sqref="D6:E6">
    <cfRule type="cellIs" dxfId="97" priority="1" operator="equal">
      <formula>"please make selection on input data tab"</formula>
    </cfRule>
  </conditionalFormatting>
  <printOptions horizontalCentered="1"/>
  <pageMargins left="0.19685039370078741" right="0" top="0.35433070866141736" bottom="0.23622047244094491" header="0.15748031496062992" footer="0.15748031496062992"/>
  <pageSetup paperSize="9" scale="94" orientation="portrait" r:id="rId1"/>
  <headerFooter>
    <oddHeader>&amp;L&amp;"Calibri"&amp;10&amp;K000000Sensitivity - General&amp;1#</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B11"/>
  <sheetViews>
    <sheetView workbookViewId="0">
      <selection sqref="A1:E1"/>
    </sheetView>
  </sheetViews>
  <sheetFormatPr defaultRowHeight="13.2"/>
  <cols>
    <col min="1" max="1" width="21.44140625" style="10" customWidth="1"/>
    <col min="2" max="256" width="9.109375" style="10"/>
    <col min="257" max="257" width="21.44140625" style="10" customWidth="1"/>
    <col min="258" max="512" width="9.109375" style="10"/>
    <col min="513" max="513" width="21.44140625" style="10" customWidth="1"/>
    <col min="514" max="768" width="9.109375" style="10"/>
    <col min="769" max="769" width="21.44140625" style="10" customWidth="1"/>
    <col min="770" max="1024" width="9.109375" style="10"/>
    <col min="1025" max="1025" width="21.44140625" style="10" customWidth="1"/>
    <col min="1026" max="1280" width="9.109375" style="10"/>
    <col min="1281" max="1281" width="21.44140625" style="10" customWidth="1"/>
    <col min="1282" max="1536" width="9.109375" style="10"/>
    <col min="1537" max="1537" width="21.44140625" style="10" customWidth="1"/>
    <col min="1538" max="1792" width="9.109375" style="10"/>
    <col min="1793" max="1793" width="21.44140625" style="10" customWidth="1"/>
    <col min="1794" max="2048" width="9.109375" style="10"/>
    <col min="2049" max="2049" width="21.44140625" style="10" customWidth="1"/>
    <col min="2050" max="2304" width="9.109375" style="10"/>
    <col min="2305" max="2305" width="21.44140625" style="10" customWidth="1"/>
    <col min="2306" max="2560" width="9.109375" style="10"/>
    <col min="2561" max="2561" width="21.44140625" style="10" customWidth="1"/>
    <col min="2562" max="2816" width="9.109375" style="10"/>
    <col min="2817" max="2817" width="21.44140625" style="10" customWidth="1"/>
    <col min="2818" max="3072" width="9.109375" style="10"/>
    <col min="3073" max="3073" width="21.44140625" style="10" customWidth="1"/>
    <col min="3074" max="3328" width="9.109375" style="10"/>
    <col min="3329" max="3329" width="21.44140625" style="10" customWidth="1"/>
    <col min="3330" max="3584" width="9.109375" style="10"/>
    <col min="3585" max="3585" width="21.44140625" style="10" customWidth="1"/>
    <col min="3586" max="3840" width="9.109375" style="10"/>
    <col min="3841" max="3841" width="21.44140625" style="10" customWidth="1"/>
    <col min="3842" max="4096" width="9.109375" style="10"/>
    <col min="4097" max="4097" width="21.44140625" style="10" customWidth="1"/>
    <col min="4098" max="4352" width="9.109375" style="10"/>
    <col min="4353" max="4353" width="21.44140625" style="10" customWidth="1"/>
    <col min="4354" max="4608" width="9.109375" style="10"/>
    <col min="4609" max="4609" width="21.44140625" style="10" customWidth="1"/>
    <col min="4610" max="4864" width="9.109375" style="10"/>
    <col min="4865" max="4865" width="21.44140625" style="10" customWidth="1"/>
    <col min="4866" max="5120" width="9.109375" style="10"/>
    <col min="5121" max="5121" width="21.44140625" style="10" customWidth="1"/>
    <col min="5122" max="5376" width="9.109375" style="10"/>
    <col min="5377" max="5377" width="21.44140625" style="10" customWidth="1"/>
    <col min="5378" max="5632" width="9.109375" style="10"/>
    <col min="5633" max="5633" width="21.44140625" style="10" customWidth="1"/>
    <col min="5634" max="5888" width="9.109375" style="10"/>
    <col min="5889" max="5889" width="21.44140625" style="10" customWidth="1"/>
    <col min="5890" max="6144" width="9.109375" style="10"/>
    <col min="6145" max="6145" width="21.44140625" style="10" customWidth="1"/>
    <col min="6146" max="6400" width="9.109375" style="10"/>
    <col min="6401" max="6401" width="21.44140625" style="10" customWidth="1"/>
    <col min="6402" max="6656" width="9.109375" style="10"/>
    <col min="6657" max="6657" width="21.44140625" style="10" customWidth="1"/>
    <col min="6658" max="6912" width="9.109375" style="10"/>
    <col min="6913" max="6913" width="21.44140625" style="10" customWidth="1"/>
    <col min="6914" max="7168" width="9.109375" style="10"/>
    <col min="7169" max="7169" width="21.44140625" style="10" customWidth="1"/>
    <col min="7170" max="7424" width="9.109375" style="10"/>
    <col min="7425" max="7425" width="21.44140625" style="10" customWidth="1"/>
    <col min="7426" max="7680" width="9.109375" style="10"/>
    <col min="7681" max="7681" width="21.44140625" style="10" customWidth="1"/>
    <col min="7682" max="7936" width="9.109375" style="10"/>
    <col min="7937" max="7937" width="21.44140625" style="10" customWidth="1"/>
    <col min="7938" max="8192" width="9.109375" style="10"/>
    <col min="8193" max="8193" width="21.44140625" style="10" customWidth="1"/>
    <col min="8194" max="8448" width="9.109375" style="10"/>
    <col min="8449" max="8449" width="21.44140625" style="10" customWidth="1"/>
    <col min="8450" max="8704" width="9.109375" style="10"/>
    <col min="8705" max="8705" width="21.44140625" style="10" customWidth="1"/>
    <col min="8706" max="8960" width="9.109375" style="10"/>
    <col min="8961" max="8961" width="21.44140625" style="10" customWidth="1"/>
    <col min="8962" max="9216" width="9.109375" style="10"/>
    <col min="9217" max="9217" width="21.44140625" style="10" customWidth="1"/>
    <col min="9218" max="9472" width="9.109375" style="10"/>
    <col min="9473" max="9473" width="21.44140625" style="10" customWidth="1"/>
    <col min="9474" max="9728" width="9.109375" style="10"/>
    <col min="9729" max="9729" width="21.44140625" style="10" customWidth="1"/>
    <col min="9730" max="9984" width="9.109375" style="10"/>
    <col min="9985" max="9985" width="21.44140625" style="10" customWidth="1"/>
    <col min="9986" max="10240" width="9.109375" style="10"/>
    <col min="10241" max="10241" width="21.44140625" style="10" customWidth="1"/>
    <col min="10242" max="10496" width="9.109375" style="10"/>
    <col min="10497" max="10497" width="21.44140625" style="10" customWidth="1"/>
    <col min="10498" max="10752" width="9.109375" style="10"/>
    <col min="10753" max="10753" width="21.44140625" style="10" customWidth="1"/>
    <col min="10754" max="11008" width="9.109375" style="10"/>
    <col min="11009" max="11009" width="21.44140625" style="10" customWidth="1"/>
    <col min="11010" max="11264" width="9.109375" style="10"/>
    <col min="11265" max="11265" width="21.44140625" style="10" customWidth="1"/>
    <col min="11266" max="11520" width="9.109375" style="10"/>
    <col min="11521" max="11521" width="21.44140625" style="10" customWidth="1"/>
    <col min="11522" max="11776" width="9.109375" style="10"/>
    <col min="11777" max="11777" width="21.44140625" style="10" customWidth="1"/>
    <col min="11778" max="12032" width="9.109375" style="10"/>
    <col min="12033" max="12033" width="21.44140625" style="10" customWidth="1"/>
    <col min="12034" max="12288" width="9.109375" style="10"/>
    <col min="12289" max="12289" width="21.44140625" style="10" customWidth="1"/>
    <col min="12290" max="12544" width="9.109375" style="10"/>
    <col min="12545" max="12545" width="21.44140625" style="10" customWidth="1"/>
    <col min="12546" max="12800" width="9.109375" style="10"/>
    <col min="12801" max="12801" width="21.44140625" style="10" customWidth="1"/>
    <col min="12802" max="13056" width="9.109375" style="10"/>
    <col min="13057" max="13057" width="21.44140625" style="10" customWidth="1"/>
    <col min="13058" max="13312" width="9.109375" style="10"/>
    <col min="13313" max="13313" width="21.44140625" style="10" customWidth="1"/>
    <col min="13314" max="13568" width="9.109375" style="10"/>
    <col min="13569" max="13569" width="21.44140625" style="10" customWidth="1"/>
    <col min="13570" max="13824" width="9.109375" style="10"/>
    <col min="13825" max="13825" width="21.44140625" style="10" customWidth="1"/>
    <col min="13826" max="14080" width="9.109375" style="10"/>
    <col min="14081" max="14081" width="21.44140625" style="10" customWidth="1"/>
    <col min="14082" max="14336" width="9.109375" style="10"/>
    <col min="14337" max="14337" width="21.44140625" style="10" customWidth="1"/>
    <col min="14338" max="14592" width="9.109375" style="10"/>
    <col min="14593" max="14593" width="21.44140625" style="10" customWidth="1"/>
    <col min="14594" max="14848" width="9.109375" style="10"/>
    <col min="14849" max="14849" width="21.44140625" style="10" customWidth="1"/>
    <col min="14850" max="15104" width="9.109375" style="10"/>
    <col min="15105" max="15105" width="21.44140625" style="10" customWidth="1"/>
    <col min="15106" max="15360" width="9.109375" style="10"/>
    <col min="15361" max="15361" width="21.44140625" style="10" customWidth="1"/>
    <col min="15362" max="15616" width="9.109375" style="10"/>
    <col min="15617" max="15617" width="21.44140625" style="10" customWidth="1"/>
    <col min="15618" max="15872" width="9.109375" style="10"/>
    <col min="15873" max="15873" width="21.44140625" style="10" customWidth="1"/>
    <col min="15874" max="16128" width="9.109375" style="10"/>
    <col min="16129" max="16129" width="21.44140625" style="10" customWidth="1"/>
    <col min="16130" max="16384" width="9.109375" style="10"/>
  </cols>
  <sheetData>
    <row r="1" spans="1:2">
      <c r="A1" s="9" t="s">
        <v>573</v>
      </c>
    </row>
    <row r="3" spans="1:2">
      <c r="A3" s="11"/>
      <c r="B3" s="10" t="s">
        <v>110</v>
      </c>
    </row>
    <row r="4" spans="1:2">
      <c r="A4" s="12"/>
      <c r="B4" s="10" t="s">
        <v>111</v>
      </c>
    </row>
    <row r="5" spans="1:2">
      <c r="A5" s="13"/>
      <c r="B5" s="13"/>
    </row>
    <row r="6" spans="1:2">
      <c r="A6" s="10" t="s">
        <v>112</v>
      </c>
      <c r="B6" s="10" t="s">
        <v>469</v>
      </c>
    </row>
    <row r="8" spans="1:2">
      <c r="A8" s="10" t="s">
        <v>113</v>
      </c>
      <c r="B8" s="10" t="s">
        <v>114</v>
      </c>
    </row>
    <row r="9" spans="1:2">
      <c r="A9" s="10" t="s">
        <v>115</v>
      </c>
    </row>
    <row r="11" spans="1:2">
      <c r="A11" s="10" t="s">
        <v>116</v>
      </c>
      <c r="B11" s="10" t="str">
        <f>"Ensure the total of Pg 3 Travel is linked to the relevant item in the pricing schedule. This is required due to different rates for less and more than " &amp;'TENDERER INPUT DATA'!D43 &amp; " km"</f>
        <v>Ensure the total of Pg 3 Travel is linked to the relevant item in the pricing schedule. This is required due to different rates for less and more than 3000 km</v>
      </c>
    </row>
  </sheetData>
  <pageMargins left="0.74803149606299213" right="0.74803149606299213" top="0.98425196850393704" bottom="0.98425196850393704" header="0.51181102362204722" footer="0.51181102362204722"/>
  <pageSetup paperSize="9" scale="86" orientation="landscape" r:id="rId1"/>
  <headerFooter alignWithMargins="0">
    <oddHeader>&amp;L&amp;"Calibri"&amp;10&amp;K000000 Sensitivity - General&amp;1#_x000D_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3">
    <tabColor rgb="FF0070C0"/>
    <pageSetUpPr fitToPage="1"/>
  </sheetPr>
  <dimension ref="A1:F124"/>
  <sheetViews>
    <sheetView zoomScale="70" zoomScaleNormal="70" zoomScaleSheetLayoutView="75" workbookViewId="0">
      <selection sqref="A1:E1"/>
    </sheetView>
  </sheetViews>
  <sheetFormatPr defaultRowHeight="20.100000000000001" customHeight="1"/>
  <cols>
    <col min="1" max="1" width="30.6640625" style="16" customWidth="1"/>
    <col min="2" max="2" width="27.109375" style="16" customWidth="1"/>
    <col min="3" max="3" width="20" style="16" customWidth="1"/>
    <col min="4" max="4" width="27.6640625" style="16" customWidth="1"/>
    <col min="5" max="5" width="20.6640625" style="16" customWidth="1"/>
    <col min="6" max="6" width="26.88671875" style="16" customWidth="1"/>
    <col min="7" max="256" width="9.109375" style="16"/>
    <col min="257" max="257" width="30.6640625" style="16" customWidth="1"/>
    <col min="258" max="258" width="27.109375" style="16" customWidth="1"/>
    <col min="259" max="259" width="20" style="16" customWidth="1"/>
    <col min="260" max="260" width="27.6640625" style="16" customWidth="1"/>
    <col min="261" max="261" width="19.88671875" style="16" customWidth="1"/>
    <col min="262" max="262" width="28.44140625" style="16" customWidth="1"/>
    <col min="263" max="512" width="9.109375" style="16"/>
    <col min="513" max="513" width="30.6640625" style="16" customWidth="1"/>
    <col min="514" max="514" width="27.109375" style="16" customWidth="1"/>
    <col min="515" max="515" width="20" style="16" customWidth="1"/>
    <col min="516" max="516" width="27.6640625" style="16" customWidth="1"/>
    <col min="517" max="517" width="19.88671875" style="16" customWidth="1"/>
    <col min="518" max="518" width="28.44140625" style="16" customWidth="1"/>
    <col min="519" max="768" width="9.109375" style="16"/>
    <col min="769" max="769" width="30.6640625" style="16" customWidth="1"/>
    <col min="770" max="770" width="27.109375" style="16" customWidth="1"/>
    <col min="771" max="771" width="20" style="16" customWidth="1"/>
    <col min="772" max="772" width="27.6640625" style="16" customWidth="1"/>
    <col min="773" max="773" width="19.88671875" style="16" customWidth="1"/>
    <col min="774" max="774" width="28.44140625" style="16" customWidth="1"/>
    <col min="775" max="1024" width="9.109375" style="16"/>
    <col min="1025" max="1025" width="30.6640625" style="16" customWidth="1"/>
    <col min="1026" max="1026" width="27.109375" style="16" customWidth="1"/>
    <col min="1027" max="1027" width="20" style="16" customWidth="1"/>
    <col min="1028" max="1028" width="27.6640625" style="16" customWidth="1"/>
    <col min="1029" max="1029" width="19.88671875" style="16" customWidth="1"/>
    <col min="1030" max="1030" width="28.44140625" style="16" customWidth="1"/>
    <col min="1031" max="1280" width="9.109375" style="16"/>
    <col min="1281" max="1281" width="30.6640625" style="16" customWidth="1"/>
    <col min="1282" max="1282" width="27.109375" style="16" customWidth="1"/>
    <col min="1283" max="1283" width="20" style="16" customWidth="1"/>
    <col min="1284" max="1284" width="27.6640625" style="16" customWidth="1"/>
    <col min="1285" max="1285" width="19.88671875" style="16" customWidth="1"/>
    <col min="1286" max="1286" width="28.44140625" style="16" customWidth="1"/>
    <col min="1287" max="1536" width="9.109375" style="16"/>
    <col min="1537" max="1537" width="30.6640625" style="16" customWidth="1"/>
    <col min="1538" max="1538" width="27.109375" style="16" customWidth="1"/>
    <col min="1539" max="1539" width="20" style="16" customWidth="1"/>
    <col min="1540" max="1540" width="27.6640625" style="16" customWidth="1"/>
    <col min="1541" max="1541" width="19.88671875" style="16" customWidth="1"/>
    <col min="1542" max="1542" width="28.44140625" style="16" customWidth="1"/>
    <col min="1543" max="1792" width="9.109375" style="16"/>
    <col min="1793" max="1793" width="30.6640625" style="16" customWidth="1"/>
    <col min="1794" max="1794" width="27.109375" style="16" customWidth="1"/>
    <col min="1795" max="1795" width="20" style="16" customWidth="1"/>
    <col min="1796" max="1796" width="27.6640625" style="16" customWidth="1"/>
    <col min="1797" max="1797" width="19.88671875" style="16" customWidth="1"/>
    <col min="1798" max="1798" width="28.44140625" style="16" customWidth="1"/>
    <col min="1799" max="2048" width="9.109375" style="16"/>
    <col min="2049" max="2049" width="30.6640625" style="16" customWidth="1"/>
    <col min="2050" max="2050" width="27.109375" style="16" customWidth="1"/>
    <col min="2051" max="2051" width="20" style="16" customWidth="1"/>
    <col min="2052" max="2052" width="27.6640625" style="16" customWidth="1"/>
    <col min="2053" max="2053" width="19.88671875" style="16" customWidth="1"/>
    <col min="2054" max="2054" width="28.44140625" style="16" customWidth="1"/>
    <col min="2055" max="2304" width="9.109375" style="16"/>
    <col min="2305" max="2305" width="30.6640625" style="16" customWidth="1"/>
    <col min="2306" max="2306" width="27.109375" style="16" customWidth="1"/>
    <col min="2307" max="2307" width="20" style="16" customWidth="1"/>
    <col min="2308" max="2308" width="27.6640625" style="16" customWidth="1"/>
    <col min="2309" max="2309" width="19.88671875" style="16" customWidth="1"/>
    <col min="2310" max="2310" width="28.44140625" style="16" customWidth="1"/>
    <col min="2311" max="2560" width="9.109375" style="16"/>
    <col min="2561" max="2561" width="30.6640625" style="16" customWidth="1"/>
    <col min="2562" max="2562" width="27.109375" style="16" customWidth="1"/>
    <col min="2563" max="2563" width="20" style="16" customWidth="1"/>
    <col min="2564" max="2564" width="27.6640625" style="16" customWidth="1"/>
    <col min="2565" max="2565" width="19.88671875" style="16" customWidth="1"/>
    <col min="2566" max="2566" width="28.44140625" style="16" customWidth="1"/>
    <col min="2567" max="2816" width="9.109375" style="16"/>
    <col min="2817" max="2817" width="30.6640625" style="16" customWidth="1"/>
    <col min="2818" max="2818" width="27.109375" style="16" customWidth="1"/>
    <col min="2819" max="2819" width="20" style="16" customWidth="1"/>
    <col min="2820" max="2820" width="27.6640625" style="16" customWidth="1"/>
    <col min="2821" max="2821" width="19.88671875" style="16" customWidth="1"/>
    <col min="2822" max="2822" width="28.44140625" style="16" customWidth="1"/>
    <col min="2823" max="3072" width="9.109375" style="16"/>
    <col min="3073" max="3073" width="30.6640625" style="16" customWidth="1"/>
    <col min="3074" max="3074" width="27.109375" style="16" customWidth="1"/>
    <col min="3075" max="3075" width="20" style="16" customWidth="1"/>
    <col min="3076" max="3076" width="27.6640625" style="16" customWidth="1"/>
    <col min="3077" max="3077" width="19.88671875" style="16" customWidth="1"/>
    <col min="3078" max="3078" width="28.44140625" style="16" customWidth="1"/>
    <col min="3079" max="3328" width="9.109375" style="16"/>
    <col min="3329" max="3329" width="30.6640625" style="16" customWidth="1"/>
    <col min="3330" max="3330" width="27.109375" style="16" customWidth="1"/>
    <col min="3331" max="3331" width="20" style="16" customWidth="1"/>
    <col min="3332" max="3332" width="27.6640625" style="16" customWidth="1"/>
    <col min="3333" max="3333" width="19.88671875" style="16" customWidth="1"/>
    <col min="3334" max="3334" width="28.44140625" style="16" customWidth="1"/>
    <col min="3335" max="3584" width="9.109375" style="16"/>
    <col min="3585" max="3585" width="30.6640625" style="16" customWidth="1"/>
    <col min="3586" max="3586" width="27.109375" style="16" customWidth="1"/>
    <col min="3587" max="3587" width="20" style="16" customWidth="1"/>
    <col min="3588" max="3588" width="27.6640625" style="16" customWidth="1"/>
    <col min="3589" max="3589" width="19.88671875" style="16" customWidth="1"/>
    <col min="3590" max="3590" width="28.44140625" style="16" customWidth="1"/>
    <col min="3591" max="3840" width="9.109375" style="16"/>
    <col min="3841" max="3841" width="30.6640625" style="16" customWidth="1"/>
    <col min="3842" max="3842" width="27.109375" style="16" customWidth="1"/>
    <col min="3843" max="3843" width="20" style="16" customWidth="1"/>
    <col min="3844" max="3844" width="27.6640625" style="16" customWidth="1"/>
    <col min="3845" max="3845" width="19.88671875" style="16" customWidth="1"/>
    <col min="3846" max="3846" width="28.44140625" style="16" customWidth="1"/>
    <col min="3847" max="4096" width="9.109375" style="16"/>
    <col min="4097" max="4097" width="30.6640625" style="16" customWidth="1"/>
    <col min="4098" max="4098" width="27.109375" style="16" customWidth="1"/>
    <col min="4099" max="4099" width="20" style="16" customWidth="1"/>
    <col min="4100" max="4100" width="27.6640625" style="16" customWidth="1"/>
    <col min="4101" max="4101" width="19.88671875" style="16" customWidth="1"/>
    <col min="4102" max="4102" width="28.44140625" style="16" customWidth="1"/>
    <col min="4103" max="4352" width="9.109375" style="16"/>
    <col min="4353" max="4353" width="30.6640625" style="16" customWidth="1"/>
    <col min="4354" max="4354" width="27.109375" style="16" customWidth="1"/>
    <col min="4355" max="4355" width="20" style="16" customWidth="1"/>
    <col min="4356" max="4356" width="27.6640625" style="16" customWidth="1"/>
    <col min="4357" max="4357" width="19.88671875" style="16" customWidth="1"/>
    <col min="4358" max="4358" width="28.44140625" style="16" customWidth="1"/>
    <col min="4359" max="4608" width="9.109375" style="16"/>
    <col min="4609" max="4609" width="30.6640625" style="16" customWidth="1"/>
    <col min="4610" max="4610" width="27.109375" style="16" customWidth="1"/>
    <col min="4611" max="4611" width="20" style="16" customWidth="1"/>
    <col min="4612" max="4612" width="27.6640625" style="16" customWidth="1"/>
    <col min="4613" max="4613" width="19.88671875" style="16" customWidth="1"/>
    <col min="4614" max="4614" width="28.44140625" style="16" customWidth="1"/>
    <col min="4615" max="4864" width="9.109375" style="16"/>
    <col min="4865" max="4865" width="30.6640625" style="16" customWidth="1"/>
    <col min="4866" max="4866" width="27.109375" style="16" customWidth="1"/>
    <col min="4867" max="4867" width="20" style="16" customWidth="1"/>
    <col min="4868" max="4868" width="27.6640625" style="16" customWidth="1"/>
    <col min="4869" max="4869" width="19.88671875" style="16" customWidth="1"/>
    <col min="4870" max="4870" width="28.44140625" style="16" customWidth="1"/>
    <col min="4871" max="5120" width="9.109375" style="16"/>
    <col min="5121" max="5121" width="30.6640625" style="16" customWidth="1"/>
    <col min="5122" max="5122" width="27.109375" style="16" customWidth="1"/>
    <col min="5123" max="5123" width="20" style="16" customWidth="1"/>
    <col min="5124" max="5124" width="27.6640625" style="16" customWidth="1"/>
    <col min="5125" max="5125" width="19.88671875" style="16" customWidth="1"/>
    <col min="5126" max="5126" width="28.44140625" style="16" customWidth="1"/>
    <col min="5127" max="5376" width="9.109375" style="16"/>
    <col min="5377" max="5377" width="30.6640625" style="16" customWidth="1"/>
    <col min="5378" max="5378" width="27.109375" style="16" customWidth="1"/>
    <col min="5379" max="5379" width="20" style="16" customWidth="1"/>
    <col min="5380" max="5380" width="27.6640625" style="16" customWidth="1"/>
    <col min="5381" max="5381" width="19.88671875" style="16" customWidth="1"/>
    <col min="5382" max="5382" width="28.44140625" style="16" customWidth="1"/>
    <col min="5383" max="5632" width="9.109375" style="16"/>
    <col min="5633" max="5633" width="30.6640625" style="16" customWidth="1"/>
    <col min="5634" max="5634" width="27.109375" style="16" customWidth="1"/>
    <col min="5635" max="5635" width="20" style="16" customWidth="1"/>
    <col min="5636" max="5636" width="27.6640625" style="16" customWidth="1"/>
    <col min="5637" max="5637" width="19.88671875" style="16" customWidth="1"/>
    <col min="5638" max="5638" width="28.44140625" style="16" customWidth="1"/>
    <col min="5639" max="5888" width="9.109375" style="16"/>
    <col min="5889" max="5889" width="30.6640625" style="16" customWidth="1"/>
    <col min="5890" max="5890" width="27.109375" style="16" customWidth="1"/>
    <col min="5891" max="5891" width="20" style="16" customWidth="1"/>
    <col min="5892" max="5892" width="27.6640625" style="16" customWidth="1"/>
    <col min="5893" max="5893" width="19.88671875" style="16" customWidth="1"/>
    <col min="5894" max="5894" width="28.44140625" style="16" customWidth="1"/>
    <col min="5895" max="6144" width="9.109375" style="16"/>
    <col min="6145" max="6145" width="30.6640625" style="16" customWidth="1"/>
    <col min="6146" max="6146" width="27.109375" style="16" customWidth="1"/>
    <col min="6147" max="6147" width="20" style="16" customWidth="1"/>
    <col min="6148" max="6148" width="27.6640625" style="16" customWidth="1"/>
    <col min="6149" max="6149" width="19.88671875" style="16" customWidth="1"/>
    <col min="6150" max="6150" width="28.44140625" style="16" customWidth="1"/>
    <col min="6151" max="6400" width="9.109375" style="16"/>
    <col min="6401" max="6401" width="30.6640625" style="16" customWidth="1"/>
    <col min="6402" max="6402" width="27.109375" style="16" customWidth="1"/>
    <col min="6403" max="6403" width="20" style="16" customWidth="1"/>
    <col min="6404" max="6404" width="27.6640625" style="16" customWidth="1"/>
    <col min="6405" max="6405" width="19.88671875" style="16" customWidth="1"/>
    <col min="6406" max="6406" width="28.44140625" style="16" customWidth="1"/>
    <col min="6407" max="6656" width="9.109375" style="16"/>
    <col min="6657" max="6657" width="30.6640625" style="16" customWidth="1"/>
    <col min="6658" max="6658" width="27.109375" style="16" customWidth="1"/>
    <col min="6659" max="6659" width="20" style="16" customWidth="1"/>
    <col min="6660" max="6660" width="27.6640625" style="16" customWidth="1"/>
    <col min="6661" max="6661" width="19.88671875" style="16" customWidth="1"/>
    <col min="6662" max="6662" width="28.44140625" style="16" customWidth="1"/>
    <col min="6663" max="6912" width="9.109375" style="16"/>
    <col min="6913" max="6913" width="30.6640625" style="16" customWidth="1"/>
    <col min="6914" max="6914" width="27.109375" style="16" customWidth="1"/>
    <col min="6915" max="6915" width="20" style="16" customWidth="1"/>
    <col min="6916" max="6916" width="27.6640625" style="16" customWidth="1"/>
    <col min="6917" max="6917" width="19.88671875" style="16" customWidth="1"/>
    <col min="6918" max="6918" width="28.44140625" style="16" customWidth="1"/>
    <col min="6919" max="7168" width="9.109375" style="16"/>
    <col min="7169" max="7169" width="30.6640625" style="16" customWidth="1"/>
    <col min="7170" max="7170" width="27.109375" style="16" customWidth="1"/>
    <col min="7171" max="7171" width="20" style="16" customWidth="1"/>
    <col min="7172" max="7172" width="27.6640625" style="16" customWidth="1"/>
    <col min="7173" max="7173" width="19.88671875" style="16" customWidth="1"/>
    <col min="7174" max="7174" width="28.44140625" style="16" customWidth="1"/>
    <col min="7175" max="7424" width="9.109375" style="16"/>
    <col min="7425" max="7425" width="30.6640625" style="16" customWidth="1"/>
    <col min="7426" max="7426" width="27.109375" style="16" customWidth="1"/>
    <col min="7427" max="7427" width="20" style="16" customWidth="1"/>
    <col min="7428" max="7428" width="27.6640625" style="16" customWidth="1"/>
    <col min="7429" max="7429" width="19.88671875" style="16" customWidth="1"/>
    <col min="7430" max="7430" width="28.44140625" style="16" customWidth="1"/>
    <col min="7431" max="7680" width="9.109375" style="16"/>
    <col min="7681" max="7681" width="30.6640625" style="16" customWidth="1"/>
    <col min="7682" max="7682" width="27.109375" style="16" customWidth="1"/>
    <col min="7683" max="7683" width="20" style="16" customWidth="1"/>
    <col min="7684" max="7684" width="27.6640625" style="16" customWidth="1"/>
    <col min="7685" max="7685" width="19.88671875" style="16" customWidth="1"/>
    <col min="7686" max="7686" width="28.44140625" style="16" customWidth="1"/>
    <col min="7687" max="7936" width="9.109375" style="16"/>
    <col min="7937" max="7937" width="30.6640625" style="16" customWidth="1"/>
    <col min="7938" max="7938" width="27.109375" style="16" customWidth="1"/>
    <col min="7939" max="7939" width="20" style="16" customWidth="1"/>
    <col min="7940" max="7940" width="27.6640625" style="16" customWidth="1"/>
    <col min="7941" max="7941" width="19.88671875" style="16" customWidth="1"/>
    <col min="7942" max="7942" width="28.44140625" style="16" customWidth="1"/>
    <col min="7943" max="8192" width="9.109375" style="16"/>
    <col min="8193" max="8193" width="30.6640625" style="16" customWidth="1"/>
    <col min="8194" max="8194" width="27.109375" style="16" customWidth="1"/>
    <col min="8195" max="8195" width="20" style="16" customWidth="1"/>
    <col min="8196" max="8196" width="27.6640625" style="16" customWidth="1"/>
    <col min="8197" max="8197" width="19.88671875" style="16" customWidth="1"/>
    <col min="8198" max="8198" width="28.44140625" style="16" customWidth="1"/>
    <col min="8199" max="8448" width="9.109375" style="16"/>
    <col min="8449" max="8449" width="30.6640625" style="16" customWidth="1"/>
    <col min="8450" max="8450" width="27.109375" style="16" customWidth="1"/>
    <col min="8451" max="8451" width="20" style="16" customWidth="1"/>
    <col min="8452" max="8452" width="27.6640625" style="16" customWidth="1"/>
    <col min="8453" max="8453" width="19.88671875" style="16" customWidth="1"/>
    <col min="8454" max="8454" width="28.44140625" style="16" customWidth="1"/>
    <col min="8455" max="8704" width="9.109375" style="16"/>
    <col min="8705" max="8705" width="30.6640625" style="16" customWidth="1"/>
    <col min="8706" max="8706" width="27.109375" style="16" customWidth="1"/>
    <col min="8707" max="8707" width="20" style="16" customWidth="1"/>
    <col min="8708" max="8708" width="27.6640625" style="16" customWidth="1"/>
    <col min="8709" max="8709" width="19.88671875" style="16" customWidth="1"/>
    <col min="8710" max="8710" width="28.44140625" style="16" customWidth="1"/>
    <col min="8711" max="8960" width="9.109375" style="16"/>
    <col min="8961" max="8961" width="30.6640625" style="16" customWidth="1"/>
    <col min="8962" max="8962" width="27.109375" style="16" customWidth="1"/>
    <col min="8963" max="8963" width="20" style="16" customWidth="1"/>
    <col min="8964" max="8964" width="27.6640625" style="16" customWidth="1"/>
    <col min="8965" max="8965" width="19.88671875" style="16" customWidth="1"/>
    <col min="8966" max="8966" width="28.44140625" style="16" customWidth="1"/>
    <col min="8967" max="9216" width="9.109375" style="16"/>
    <col min="9217" max="9217" width="30.6640625" style="16" customWidth="1"/>
    <col min="9218" max="9218" width="27.109375" style="16" customWidth="1"/>
    <col min="9219" max="9219" width="20" style="16" customWidth="1"/>
    <col min="9220" max="9220" width="27.6640625" style="16" customWidth="1"/>
    <col min="9221" max="9221" width="19.88671875" style="16" customWidth="1"/>
    <col min="9222" max="9222" width="28.44140625" style="16" customWidth="1"/>
    <col min="9223" max="9472" width="9.109375" style="16"/>
    <col min="9473" max="9473" width="30.6640625" style="16" customWidth="1"/>
    <col min="9474" max="9474" width="27.109375" style="16" customWidth="1"/>
    <col min="9475" max="9475" width="20" style="16" customWidth="1"/>
    <col min="9476" max="9476" width="27.6640625" style="16" customWidth="1"/>
    <col min="9477" max="9477" width="19.88671875" style="16" customWidth="1"/>
    <col min="9478" max="9478" width="28.44140625" style="16" customWidth="1"/>
    <col min="9479" max="9728" width="9.109375" style="16"/>
    <col min="9729" max="9729" width="30.6640625" style="16" customWidth="1"/>
    <col min="9730" max="9730" width="27.109375" style="16" customWidth="1"/>
    <col min="9731" max="9731" width="20" style="16" customWidth="1"/>
    <col min="9732" max="9732" width="27.6640625" style="16" customWidth="1"/>
    <col min="9733" max="9733" width="19.88671875" style="16" customWidth="1"/>
    <col min="9734" max="9734" width="28.44140625" style="16" customWidth="1"/>
    <col min="9735" max="9984" width="9.109375" style="16"/>
    <col min="9985" max="9985" width="30.6640625" style="16" customWidth="1"/>
    <col min="9986" max="9986" width="27.109375" style="16" customWidth="1"/>
    <col min="9987" max="9987" width="20" style="16" customWidth="1"/>
    <col min="9988" max="9988" width="27.6640625" style="16" customWidth="1"/>
    <col min="9989" max="9989" width="19.88671875" style="16" customWidth="1"/>
    <col min="9990" max="9990" width="28.44140625" style="16" customWidth="1"/>
    <col min="9991" max="10240" width="9.109375" style="16"/>
    <col min="10241" max="10241" width="30.6640625" style="16" customWidth="1"/>
    <col min="10242" max="10242" width="27.109375" style="16" customWidth="1"/>
    <col min="10243" max="10243" width="20" style="16" customWidth="1"/>
    <col min="10244" max="10244" width="27.6640625" style="16" customWidth="1"/>
    <col min="10245" max="10245" width="19.88671875" style="16" customWidth="1"/>
    <col min="10246" max="10246" width="28.44140625" style="16" customWidth="1"/>
    <col min="10247" max="10496" width="9.109375" style="16"/>
    <col min="10497" max="10497" width="30.6640625" style="16" customWidth="1"/>
    <col min="10498" max="10498" width="27.109375" style="16" customWidth="1"/>
    <col min="10499" max="10499" width="20" style="16" customWidth="1"/>
    <col min="10500" max="10500" width="27.6640625" style="16" customWidth="1"/>
    <col min="10501" max="10501" width="19.88671875" style="16" customWidth="1"/>
    <col min="10502" max="10502" width="28.44140625" style="16" customWidth="1"/>
    <col min="10503" max="10752" width="9.109375" style="16"/>
    <col min="10753" max="10753" width="30.6640625" style="16" customWidth="1"/>
    <col min="10754" max="10754" width="27.109375" style="16" customWidth="1"/>
    <col min="10755" max="10755" width="20" style="16" customWidth="1"/>
    <col min="10756" max="10756" width="27.6640625" style="16" customWidth="1"/>
    <col min="10757" max="10757" width="19.88671875" style="16" customWidth="1"/>
    <col min="10758" max="10758" width="28.44140625" style="16" customWidth="1"/>
    <col min="10759" max="11008" width="9.109375" style="16"/>
    <col min="11009" max="11009" width="30.6640625" style="16" customWidth="1"/>
    <col min="11010" max="11010" width="27.109375" style="16" customWidth="1"/>
    <col min="11011" max="11011" width="20" style="16" customWidth="1"/>
    <col min="11012" max="11012" width="27.6640625" style="16" customWidth="1"/>
    <col min="11013" max="11013" width="19.88671875" style="16" customWidth="1"/>
    <col min="11014" max="11014" width="28.44140625" style="16" customWidth="1"/>
    <col min="11015" max="11264" width="9.109375" style="16"/>
    <col min="11265" max="11265" width="30.6640625" style="16" customWidth="1"/>
    <col min="11266" max="11266" width="27.109375" style="16" customWidth="1"/>
    <col min="11267" max="11267" width="20" style="16" customWidth="1"/>
    <col min="11268" max="11268" width="27.6640625" style="16" customWidth="1"/>
    <col min="11269" max="11269" width="19.88671875" style="16" customWidth="1"/>
    <col min="11270" max="11270" width="28.44140625" style="16" customWidth="1"/>
    <col min="11271" max="11520" width="9.109375" style="16"/>
    <col min="11521" max="11521" width="30.6640625" style="16" customWidth="1"/>
    <col min="11522" max="11522" width="27.109375" style="16" customWidth="1"/>
    <col min="11523" max="11523" width="20" style="16" customWidth="1"/>
    <col min="11524" max="11524" width="27.6640625" style="16" customWidth="1"/>
    <col min="11525" max="11525" width="19.88671875" style="16" customWidth="1"/>
    <col min="11526" max="11526" width="28.44140625" style="16" customWidth="1"/>
    <col min="11527" max="11776" width="9.109375" style="16"/>
    <col min="11777" max="11777" width="30.6640625" style="16" customWidth="1"/>
    <col min="11778" max="11778" width="27.109375" style="16" customWidth="1"/>
    <col min="11779" max="11779" width="20" style="16" customWidth="1"/>
    <col min="11780" max="11780" width="27.6640625" style="16" customWidth="1"/>
    <col min="11781" max="11781" width="19.88671875" style="16" customWidth="1"/>
    <col min="11782" max="11782" width="28.44140625" style="16" customWidth="1"/>
    <col min="11783" max="12032" width="9.109375" style="16"/>
    <col min="12033" max="12033" width="30.6640625" style="16" customWidth="1"/>
    <col min="12034" max="12034" width="27.109375" style="16" customWidth="1"/>
    <col min="12035" max="12035" width="20" style="16" customWidth="1"/>
    <col min="12036" max="12036" width="27.6640625" style="16" customWidth="1"/>
    <col min="12037" max="12037" width="19.88671875" style="16" customWidth="1"/>
    <col min="12038" max="12038" width="28.44140625" style="16" customWidth="1"/>
    <col min="12039" max="12288" width="9.109375" style="16"/>
    <col min="12289" max="12289" width="30.6640625" style="16" customWidth="1"/>
    <col min="12290" max="12290" width="27.109375" style="16" customWidth="1"/>
    <col min="12291" max="12291" width="20" style="16" customWidth="1"/>
    <col min="12292" max="12292" width="27.6640625" style="16" customWidth="1"/>
    <col min="12293" max="12293" width="19.88671875" style="16" customWidth="1"/>
    <col min="12294" max="12294" width="28.44140625" style="16" customWidth="1"/>
    <col min="12295" max="12544" width="9.109375" style="16"/>
    <col min="12545" max="12545" width="30.6640625" style="16" customWidth="1"/>
    <col min="12546" max="12546" width="27.109375" style="16" customWidth="1"/>
    <col min="12547" max="12547" width="20" style="16" customWidth="1"/>
    <col min="12548" max="12548" width="27.6640625" style="16" customWidth="1"/>
    <col min="12549" max="12549" width="19.88671875" style="16" customWidth="1"/>
    <col min="12550" max="12550" width="28.44140625" style="16" customWidth="1"/>
    <col min="12551" max="12800" width="9.109375" style="16"/>
    <col min="12801" max="12801" width="30.6640625" style="16" customWidth="1"/>
    <col min="12802" max="12802" width="27.109375" style="16" customWidth="1"/>
    <col min="12803" max="12803" width="20" style="16" customWidth="1"/>
    <col min="12804" max="12804" width="27.6640625" style="16" customWidth="1"/>
    <col min="12805" max="12805" width="19.88671875" style="16" customWidth="1"/>
    <col min="12806" max="12806" width="28.44140625" style="16" customWidth="1"/>
    <col min="12807" max="13056" width="9.109375" style="16"/>
    <col min="13057" max="13057" width="30.6640625" style="16" customWidth="1"/>
    <col min="13058" max="13058" width="27.109375" style="16" customWidth="1"/>
    <col min="13059" max="13059" width="20" style="16" customWidth="1"/>
    <col min="13060" max="13060" width="27.6640625" style="16" customWidth="1"/>
    <col min="13061" max="13061" width="19.88671875" style="16" customWidth="1"/>
    <col min="13062" max="13062" width="28.44140625" style="16" customWidth="1"/>
    <col min="13063" max="13312" width="9.109375" style="16"/>
    <col min="13313" max="13313" width="30.6640625" style="16" customWidth="1"/>
    <col min="13314" max="13314" width="27.109375" style="16" customWidth="1"/>
    <col min="13315" max="13315" width="20" style="16" customWidth="1"/>
    <col min="13316" max="13316" width="27.6640625" style="16" customWidth="1"/>
    <col min="13317" max="13317" width="19.88671875" style="16" customWidth="1"/>
    <col min="13318" max="13318" width="28.44140625" style="16" customWidth="1"/>
    <col min="13319" max="13568" width="9.109375" style="16"/>
    <col min="13569" max="13569" width="30.6640625" style="16" customWidth="1"/>
    <col min="13570" max="13570" width="27.109375" style="16" customWidth="1"/>
    <col min="13571" max="13571" width="20" style="16" customWidth="1"/>
    <col min="13572" max="13572" width="27.6640625" style="16" customWidth="1"/>
    <col min="13573" max="13573" width="19.88671875" style="16" customWidth="1"/>
    <col min="13574" max="13574" width="28.44140625" style="16" customWidth="1"/>
    <col min="13575" max="13824" width="9.109375" style="16"/>
    <col min="13825" max="13825" width="30.6640625" style="16" customWidth="1"/>
    <col min="13826" max="13826" width="27.109375" style="16" customWidth="1"/>
    <col min="13827" max="13827" width="20" style="16" customWidth="1"/>
    <col min="13828" max="13828" width="27.6640625" style="16" customWidth="1"/>
    <col min="13829" max="13829" width="19.88671875" style="16" customWidth="1"/>
    <col min="13830" max="13830" width="28.44140625" style="16" customWidth="1"/>
    <col min="13831" max="14080" width="9.109375" style="16"/>
    <col min="14081" max="14081" width="30.6640625" style="16" customWidth="1"/>
    <col min="14082" max="14082" width="27.109375" style="16" customWidth="1"/>
    <col min="14083" max="14083" width="20" style="16" customWidth="1"/>
    <col min="14084" max="14084" width="27.6640625" style="16" customWidth="1"/>
    <col min="14085" max="14085" width="19.88671875" style="16" customWidth="1"/>
    <col min="14086" max="14086" width="28.44140625" style="16" customWidth="1"/>
    <col min="14087" max="14336" width="9.109375" style="16"/>
    <col min="14337" max="14337" width="30.6640625" style="16" customWidth="1"/>
    <col min="14338" max="14338" width="27.109375" style="16" customWidth="1"/>
    <col min="14339" max="14339" width="20" style="16" customWidth="1"/>
    <col min="14340" max="14340" width="27.6640625" style="16" customWidth="1"/>
    <col min="14341" max="14341" width="19.88671875" style="16" customWidth="1"/>
    <col min="14342" max="14342" width="28.44140625" style="16" customWidth="1"/>
    <col min="14343" max="14592" width="9.109375" style="16"/>
    <col min="14593" max="14593" width="30.6640625" style="16" customWidth="1"/>
    <col min="14594" max="14594" width="27.109375" style="16" customWidth="1"/>
    <col min="14595" max="14595" width="20" style="16" customWidth="1"/>
    <col min="14596" max="14596" width="27.6640625" style="16" customWidth="1"/>
    <col min="14597" max="14597" width="19.88671875" style="16" customWidth="1"/>
    <col min="14598" max="14598" width="28.44140625" style="16" customWidth="1"/>
    <col min="14599" max="14848" width="9.109375" style="16"/>
    <col min="14849" max="14849" width="30.6640625" style="16" customWidth="1"/>
    <col min="14850" max="14850" width="27.109375" style="16" customWidth="1"/>
    <col min="14851" max="14851" width="20" style="16" customWidth="1"/>
    <col min="14852" max="14852" width="27.6640625" style="16" customWidth="1"/>
    <col min="14853" max="14853" width="19.88671875" style="16" customWidth="1"/>
    <col min="14854" max="14854" width="28.44140625" style="16" customWidth="1"/>
    <col min="14855" max="15104" width="9.109375" style="16"/>
    <col min="15105" max="15105" width="30.6640625" style="16" customWidth="1"/>
    <col min="15106" max="15106" width="27.109375" style="16" customWidth="1"/>
    <col min="15107" max="15107" width="20" style="16" customWidth="1"/>
    <col min="15108" max="15108" width="27.6640625" style="16" customWidth="1"/>
    <col min="15109" max="15109" width="19.88671875" style="16" customWidth="1"/>
    <col min="15110" max="15110" width="28.44140625" style="16" customWidth="1"/>
    <col min="15111" max="15360" width="9.109375" style="16"/>
    <col min="15361" max="15361" width="30.6640625" style="16" customWidth="1"/>
    <col min="15362" max="15362" width="27.109375" style="16" customWidth="1"/>
    <col min="15363" max="15363" width="20" style="16" customWidth="1"/>
    <col min="15364" max="15364" width="27.6640625" style="16" customWidth="1"/>
    <col min="15365" max="15365" width="19.88671875" style="16" customWidth="1"/>
    <col min="15366" max="15366" width="28.44140625" style="16" customWidth="1"/>
    <col min="15367" max="15616" width="9.109375" style="16"/>
    <col min="15617" max="15617" width="30.6640625" style="16" customWidth="1"/>
    <col min="15618" max="15618" width="27.109375" style="16" customWidth="1"/>
    <col min="15619" max="15619" width="20" style="16" customWidth="1"/>
    <col min="15620" max="15620" width="27.6640625" style="16" customWidth="1"/>
    <col min="15621" max="15621" width="19.88671875" style="16" customWidth="1"/>
    <col min="15622" max="15622" width="28.44140625" style="16" customWidth="1"/>
    <col min="15623" max="15872" width="9.109375" style="16"/>
    <col min="15873" max="15873" width="30.6640625" style="16" customWidth="1"/>
    <col min="15874" max="15874" width="27.109375" style="16" customWidth="1"/>
    <col min="15875" max="15875" width="20" style="16" customWidth="1"/>
    <col min="15876" max="15876" width="27.6640625" style="16" customWidth="1"/>
    <col min="15877" max="15877" width="19.88671875" style="16" customWidth="1"/>
    <col min="15878" max="15878" width="28.44140625" style="16" customWidth="1"/>
    <col min="15879" max="16128" width="9.109375" style="16"/>
    <col min="16129" max="16129" width="30.6640625" style="16" customWidth="1"/>
    <col min="16130" max="16130" width="27.109375" style="16" customWidth="1"/>
    <col min="16131" max="16131" width="20" style="16" customWidth="1"/>
    <col min="16132" max="16132" width="27.6640625" style="16" customWidth="1"/>
    <col min="16133" max="16133" width="19.88671875" style="16" customWidth="1"/>
    <col min="16134" max="16134" width="28.44140625" style="16" customWidth="1"/>
    <col min="16135" max="16384" width="9.109375" style="16"/>
  </cols>
  <sheetData>
    <row r="1" spans="1:6" ht="20.100000000000001" customHeight="1">
      <c r="A1" s="14"/>
      <c r="B1" s="1106" t="s">
        <v>117</v>
      </c>
      <c r="C1" s="1107"/>
      <c r="D1" s="1110" t="s">
        <v>118</v>
      </c>
      <c r="E1" s="1111"/>
      <c r="F1" s="15" t="s">
        <v>119</v>
      </c>
    </row>
    <row r="2" spans="1:6" ht="20.100000000000001" customHeight="1">
      <c r="A2" s="17"/>
      <c r="B2" s="1108"/>
      <c r="C2" s="1109"/>
      <c r="D2" s="1112" t="str">
        <f>'F1 Forecast Consultant'!D2:E2</f>
        <v>Routine Road Maintenance</v>
      </c>
      <c r="E2" s="1113"/>
      <c r="F2" s="18" t="s">
        <v>353</v>
      </c>
    </row>
    <row r="3" spans="1:6" ht="20.100000000000001" customHeight="1">
      <c r="A3" s="17"/>
      <c r="B3" s="1114" t="s">
        <v>681</v>
      </c>
      <c r="C3" s="1116" t="str">
        <f>'F1 Forecast Consultant'!C3:C4</f>
        <v>WESTERN</v>
      </c>
      <c r="D3" s="19" t="s">
        <v>121</v>
      </c>
      <c r="E3" s="548" t="str">
        <f>'F1 Forecast Consultant'!E3</f>
        <v>X.002-180-2024/1RF</v>
      </c>
      <c r="F3" s="57" t="s">
        <v>367</v>
      </c>
    </row>
    <row r="4" spans="1:6" ht="20.25" customHeight="1" thickBot="1">
      <c r="A4" s="20"/>
      <c r="B4" s="1115"/>
      <c r="C4" s="1117"/>
      <c r="D4" s="21" t="s">
        <v>366</v>
      </c>
      <c r="E4" s="420">
        <f>'F1 Forecast Consultant'!E4</f>
        <v>1</v>
      </c>
      <c r="F4" s="421">
        <f>'F1 Forecast Contractor'!E4</f>
        <v>0</v>
      </c>
    </row>
    <row r="5" spans="1:6" ht="20.100000000000001" customHeight="1">
      <c r="A5" s="1097" t="s">
        <v>419</v>
      </c>
      <c r="B5" s="1098"/>
      <c r="C5" s="1098"/>
      <c r="D5" s="1098"/>
      <c r="E5" s="1098"/>
      <c r="F5" s="1099"/>
    </row>
    <row r="6" spans="1:6" ht="20.100000000000001" customHeight="1">
      <c r="A6" s="1100"/>
      <c r="B6" s="1101"/>
      <c r="C6" s="1101"/>
      <c r="D6" s="1101"/>
      <c r="E6" s="1101"/>
      <c r="F6" s="1102"/>
    </row>
    <row r="7" spans="1:6" ht="20.100000000000001" customHeight="1" thickBot="1">
      <c r="A7" s="1103"/>
      <c r="B7" s="1104"/>
      <c r="C7" s="1104"/>
      <c r="D7" s="1104"/>
      <c r="E7" s="1104"/>
      <c r="F7" s="1105"/>
    </row>
    <row r="8" spans="1:6" ht="20.100000000000001" customHeight="1">
      <c r="A8" s="24" t="s">
        <v>123</v>
      </c>
      <c r="B8" s="398" t="str">
        <f>E3</f>
        <v>X.002-180-2024/1RF</v>
      </c>
      <c r="C8" s="399"/>
      <c r="D8" s="399"/>
      <c r="E8" s="399"/>
      <c r="F8" s="400"/>
    </row>
    <row r="9" spans="1:6" ht="20.100000000000001" customHeight="1">
      <c r="A9" s="1129" t="s">
        <v>124</v>
      </c>
      <c r="B9" s="1131" t="str">
        <f>'F1 Forecast Consultant'!B9:F10</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C9" s="1132"/>
      <c r="D9" s="1132"/>
      <c r="E9" s="1132"/>
      <c r="F9" s="1133"/>
    </row>
    <row r="10" spans="1:6" ht="18.75" customHeight="1">
      <c r="A10" s="1130"/>
      <c r="B10" s="1134"/>
      <c r="C10" s="1135"/>
      <c r="D10" s="1135"/>
      <c r="E10" s="1135"/>
      <c r="F10" s="1136"/>
    </row>
    <row r="11" spans="1:6" ht="20.100000000000001" customHeight="1">
      <c r="A11" s="25" t="s">
        <v>125</v>
      </c>
      <c r="B11" s="1137">
        <f>IF('F1 Forecast Consultant'!B11:C11="","",'F1 Forecast Consultant'!B11:C11)</f>
        <v>45433</v>
      </c>
      <c r="C11" s="1138"/>
      <c r="D11" s="27" t="s">
        <v>126</v>
      </c>
      <c r="E11" s="1139" t="str">
        <f>IF('F1 Forecast Consultant'!E11:F11="","",'F1 Forecast Consultant'!E11:F11)</f>
        <v/>
      </c>
      <c r="F11" s="1140"/>
    </row>
    <row r="12" spans="1:6" ht="20.100000000000001" customHeight="1">
      <c r="A12" s="26" t="s">
        <v>127</v>
      </c>
      <c r="B12" s="1141" t="str">
        <f>'F1 Forecast Consultant'!B12</f>
        <v/>
      </c>
      <c r="C12" s="1142"/>
      <c r="D12" s="1142"/>
      <c r="E12" s="1142"/>
      <c r="F12" s="1143"/>
    </row>
    <row r="13" spans="1:6" ht="20.100000000000001" customHeight="1">
      <c r="A13" s="27" t="s">
        <v>128</v>
      </c>
      <c r="B13" s="392">
        <f>IF('F1 Forecast Consultant'!B13="","",'F1 Forecast Consultant'!B13)</f>
        <v>25537475</v>
      </c>
      <c r="C13" s="397" t="s">
        <v>129</v>
      </c>
      <c r="D13" s="390"/>
      <c r="E13" s="390"/>
      <c r="F13" s="391"/>
    </row>
    <row r="14" spans="1:6" ht="20.100000000000001" customHeight="1">
      <c r="A14" s="26" t="s">
        <v>130</v>
      </c>
      <c r="B14" s="1144" t="str">
        <f>IF('F1 Forecast Contractor'!B14:D14="","",'F1 Forecast Contractor'!B14:D14)</f>
        <v/>
      </c>
      <c r="C14" s="1145"/>
      <c r="D14" s="1146"/>
      <c r="E14" s="390"/>
      <c r="F14" s="391"/>
    </row>
    <row r="15" spans="1:6" ht="20.100000000000001" customHeight="1">
      <c r="A15" s="25" t="s">
        <v>125</v>
      </c>
      <c r="B15" s="1118" t="str">
        <f>IF('F1 Forecast Contractor'!B15:C15=0,"",'F1 Forecast Contractor'!B15:C15)</f>
        <v/>
      </c>
      <c r="C15" s="1119"/>
      <c r="D15" s="27" t="s">
        <v>126</v>
      </c>
      <c r="E15" s="1118" t="str">
        <f>IF('F1 Forecast Contractor'!E15:F15=0,"",'F1 Forecast Contractor'!E15:F15)</f>
        <v/>
      </c>
      <c r="F15" s="1119"/>
    </row>
    <row r="16" spans="1:6" ht="36" customHeight="1" thickBot="1">
      <c r="A16" s="30" t="s">
        <v>131</v>
      </c>
      <c r="B16" s="393">
        <f>IF('F1 Forecast Contractor'!B16="","",'F1 Forecast Contractor'!B16)</f>
        <v>0</v>
      </c>
      <c r="C16" s="394" t="s">
        <v>129</v>
      </c>
      <c r="D16" s="390"/>
      <c r="E16" s="395"/>
      <c r="F16" s="396"/>
    </row>
    <row r="17" spans="1:6" ht="16.5" customHeight="1">
      <c r="A17" s="1120" t="s">
        <v>132</v>
      </c>
      <c r="B17" s="1123" t="s">
        <v>133</v>
      </c>
      <c r="C17" s="1124"/>
      <c r="D17" s="1124"/>
      <c r="E17" s="1125"/>
      <c r="F17" s="33" t="s">
        <v>134</v>
      </c>
    </row>
    <row r="18" spans="1:6" ht="14.25" customHeight="1">
      <c r="A18" s="1121"/>
      <c r="B18" s="1126" t="s">
        <v>129</v>
      </c>
      <c r="C18" s="1127"/>
      <c r="D18" s="1127"/>
      <c r="E18" s="1128"/>
      <c r="F18" s="34" t="s">
        <v>129</v>
      </c>
    </row>
    <row r="19" spans="1:6" ht="16.5" customHeight="1" thickBot="1">
      <c r="A19" s="1122"/>
      <c r="B19" s="35" t="s">
        <v>135</v>
      </c>
      <c r="C19" s="36" t="s">
        <v>136</v>
      </c>
      <c r="D19" s="37" t="s">
        <v>137</v>
      </c>
      <c r="E19" s="36" t="s">
        <v>50</v>
      </c>
      <c r="F19" s="38"/>
    </row>
    <row r="20" spans="1:6" ht="20.100000000000001" customHeight="1">
      <c r="A20" s="549" t="e">
        <f>DATA!U2</f>
        <v>#N/A</v>
      </c>
      <c r="B20" s="568" t="str">
        <f>IF('F1 Forecast Consultant'!B20="","",'F1 Forecast Consultant'!B20)</f>
        <v/>
      </c>
      <c r="C20" s="567" t="str">
        <f>IF('F1 Forecast Consultant'!C20="","",'F1 Forecast Consultant'!C20)</f>
        <v/>
      </c>
      <c r="D20" s="42" t="str">
        <f>IF('F1 Forecast Contractor'!D20="","",'F1 Forecast Contractor'!D20)</f>
        <v/>
      </c>
      <c r="E20" s="41">
        <f>SUM(B20:D20)</f>
        <v>0</v>
      </c>
      <c r="F20" s="43"/>
    </row>
    <row r="21" spans="1:6" ht="20.100000000000001" customHeight="1">
      <c r="A21" s="549" t="e">
        <f>+A20+30</f>
        <v>#N/A</v>
      </c>
      <c r="B21" s="40" t="str">
        <f>IF('F1 Forecast Consultant'!B21="","",'F1 Forecast Consultant'!B21)</f>
        <v/>
      </c>
      <c r="C21" s="41" t="str">
        <f>IF('F1 Forecast Consultant'!C21="","",'F1 Forecast Consultant'!C21)</f>
        <v/>
      </c>
      <c r="D21" s="42" t="str">
        <f>IF('F1 Forecast Contractor'!D21="","",'F1 Forecast Contractor'!D21)</f>
        <v/>
      </c>
      <c r="E21" s="41">
        <f>SUM(B21:D21)</f>
        <v>0</v>
      </c>
      <c r="F21" s="43"/>
    </row>
    <row r="22" spans="1:6" ht="20.100000000000001" customHeight="1">
      <c r="A22" s="549" t="e">
        <f>+A21+31</f>
        <v>#N/A</v>
      </c>
      <c r="B22" s="40" t="str">
        <f>IF('F1 Forecast Consultant'!B22="","",'F1 Forecast Consultant'!B22)</f>
        <v/>
      </c>
      <c r="C22" s="41" t="str">
        <f>IF('F1 Forecast Consultant'!C22="","",'F1 Forecast Consultant'!C22)</f>
        <v/>
      </c>
      <c r="D22" s="42" t="str">
        <f>IF('F1 Forecast Contractor'!D22="","",'F1 Forecast Contractor'!D22)</f>
        <v/>
      </c>
      <c r="E22" s="41">
        <f>SUM(B22:D22)</f>
        <v>0</v>
      </c>
      <c r="F22" s="43"/>
    </row>
    <row r="23" spans="1:6" ht="20.100000000000001" customHeight="1">
      <c r="A23" s="549" t="e">
        <f>+A22+30</f>
        <v>#N/A</v>
      </c>
      <c r="B23" s="40" t="str">
        <f>IF('F1 Forecast Consultant'!B23="","",'F1 Forecast Consultant'!B23)</f>
        <v/>
      </c>
      <c r="C23" s="41" t="str">
        <f>IF('F1 Forecast Consultant'!C23="","",'F1 Forecast Consultant'!C23)</f>
        <v/>
      </c>
      <c r="D23" s="42" t="str">
        <f>IF('F1 Forecast Contractor'!D23="","",'F1 Forecast Contractor'!D23)</f>
        <v/>
      </c>
      <c r="E23" s="41">
        <f>SUM(B23:D23)</f>
        <v>0</v>
      </c>
      <c r="F23" s="43"/>
    </row>
    <row r="24" spans="1:6" ht="20.100000000000001" customHeight="1">
      <c r="A24" s="549" t="e">
        <f>+A23+31</f>
        <v>#N/A</v>
      </c>
      <c r="B24" s="40" t="str">
        <f>IF('F1 Forecast Consultant'!B24="","",'F1 Forecast Consultant'!B24)</f>
        <v/>
      </c>
      <c r="C24" s="41" t="str">
        <f>IF('F1 Forecast Consultant'!C24="","",'F1 Forecast Consultant'!C24)</f>
        <v/>
      </c>
      <c r="D24" s="42" t="str">
        <f>IF('F1 Forecast Contractor'!D24="","",'F1 Forecast Contractor'!D24)</f>
        <v/>
      </c>
      <c r="E24" s="41">
        <f>SUM(B24:D24)</f>
        <v>0</v>
      </c>
      <c r="F24" s="43"/>
    </row>
    <row r="25" spans="1:6" ht="20.100000000000001" customHeight="1">
      <c r="A25" s="549" t="e">
        <f>+A24+31</f>
        <v>#N/A</v>
      </c>
      <c r="B25" s="40" t="str">
        <f>IF('F1 Forecast Consultant'!B25="","",'F1 Forecast Consultant'!B25)</f>
        <v/>
      </c>
      <c r="C25" s="41" t="str">
        <f>IF('F1 Forecast Consultant'!C25="","",'F1 Forecast Consultant'!C25)</f>
        <v/>
      </c>
      <c r="D25" s="42" t="str">
        <f>IF('F1 Forecast Contractor'!D25="","",'F1 Forecast Contractor'!D25)</f>
        <v/>
      </c>
      <c r="E25" s="41">
        <f t="shared" ref="E25:E31" si="0">SUM(B25:D25)</f>
        <v>0</v>
      </c>
      <c r="F25" s="43"/>
    </row>
    <row r="26" spans="1:6" ht="20.100000000000001" customHeight="1">
      <c r="A26" s="549" t="e">
        <f>+A25+30</f>
        <v>#N/A</v>
      </c>
      <c r="B26" s="40" t="str">
        <f>IF('F1 Forecast Consultant'!B26="","",'F1 Forecast Consultant'!B26)</f>
        <v/>
      </c>
      <c r="C26" s="41" t="str">
        <f>IF('F1 Forecast Consultant'!C26="","",'F1 Forecast Consultant'!C26)</f>
        <v/>
      </c>
      <c r="D26" s="42" t="str">
        <f>IF('F1 Forecast Contractor'!D26="","",'F1 Forecast Contractor'!D26)</f>
        <v/>
      </c>
      <c r="E26" s="41">
        <f t="shared" si="0"/>
        <v>0</v>
      </c>
      <c r="F26" s="43"/>
    </row>
    <row r="27" spans="1:6" ht="20.100000000000001" customHeight="1">
      <c r="A27" s="549" t="e">
        <f>+A26+31</f>
        <v>#N/A</v>
      </c>
      <c r="B27" s="40" t="str">
        <f>IF('F1 Forecast Consultant'!B27="","",'F1 Forecast Consultant'!B27)</f>
        <v/>
      </c>
      <c r="C27" s="41" t="str">
        <f>IF('F1 Forecast Consultant'!C27="","",'F1 Forecast Consultant'!C27)</f>
        <v/>
      </c>
      <c r="D27" s="42" t="str">
        <f>IF('F1 Forecast Contractor'!D27="","",'F1 Forecast Contractor'!D27)</f>
        <v/>
      </c>
      <c r="E27" s="41">
        <f t="shared" si="0"/>
        <v>0</v>
      </c>
      <c r="F27" s="43"/>
    </row>
    <row r="28" spans="1:6" ht="20.100000000000001" customHeight="1">
      <c r="A28" s="549" t="e">
        <f>+A27+30</f>
        <v>#N/A</v>
      </c>
      <c r="B28" s="40" t="str">
        <f>IF('F1 Forecast Consultant'!B28="","",'F1 Forecast Consultant'!B28)</f>
        <v/>
      </c>
      <c r="C28" s="41" t="str">
        <f>IF('F1 Forecast Consultant'!C28="","",'F1 Forecast Consultant'!C28)</f>
        <v/>
      </c>
      <c r="D28" s="42" t="str">
        <f>IF('F1 Forecast Contractor'!D28="","",'F1 Forecast Contractor'!D28)</f>
        <v/>
      </c>
      <c r="E28" s="41">
        <f t="shared" si="0"/>
        <v>0</v>
      </c>
      <c r="F28" s="43"/>
    </row>
    <row r="29" spans="1:6" ht="20.100000000000001" customHeight="1">
      <c r="A29" s="549" t="e">
        <f>+A28+31</f>
        <v>#N/A</v>
      </c>
      <c r="B29" s="40" t="str">
        <f>IF('F1 Forecast Consultant'!B29="","",'F1 Forecast Consultant'!B29)</f>
        <v/>
      </c>
      <c r="C29" s="41" t="str">
        <f>IF('F1 Forecast Consultant'!C29="","",'F1 Forecast Consultant'!C29)</f>
        <v/>
      </c>
      <c r="D29" s="42" t="str">
        <f>IF('F1 Forecast Contractor'!D29="","",'F1 Forecast Contractor'!D29)</f>
        <v/>
      </c>
      <c r="E29" s="41">
        <f t="shared" si="0"/>
        <v>0</v>
      </c>
      <c r="F29" s="43"/>
    </row>
    <row r="30" spans="1:6" ht="20.100000000000001" customHeight="1">
      <c r="A30" s="549" t="e">
        <f>+A29+31</f>
        <v>#N/A</v>
      </c>
      <c r="B30" s="40" t="str">
        <f>IF('F1 Forecast Consultant'!B30="","",'F1 Forecast Consultant'!B30)</f>
        <v/>
      </c>
      <c r="C30" s="41" t="str">
        <f>IF('F1 Forecast Consultant'!C30="","",'F1 Forecast Consultant'!C30)</f>
        <v/>
      </c>
      <c r="D30" s="42" t="str">
        <f>IF('F1 Forecast Contractor'!D30="","",'F1 Forecast Contractor'!D30)</f>
        <v/>
      </c>
      <c r="E30" s="41">
        <f t="shared" si="0"/>
        <v>0</v>
      </c>
      <c r="F30" s="43"/>
    </row>
    <row r="31" spans="1:6" ht="20.100000000000001" customHeight="1">
      <c r="A31" s="549" t="e">
        <f>IF(ISNA(VLOOKUP(A30,DATA!$E$4:$E$13,1,FALSE))=TRUE,A30+28,A30+29)</f>
        <v>#N/A</v>
      </c>
      <c r="B31" s="569" t="str">
        <f>IF('F1 Forecast Consultant'!B31="","",'F1 Forecast Consultant'!B31)</f>
        <v/>
      </c>
      <c r="C31" s="44" t="str">
        <f>IF('F1 Forecast Consultant'!C31="","",'F1 Forecast Consultant'!C31)</f>
        <v/>
      </c>
      <c r="D31" s="42" t="str">
        <f>IF('F1 Forecast Contractor'!D31="","",'F1 Forecast Contractor'!D31)</f>
        <v/>
      </c>
      <c r="E31" s="44">
        <f t="shared" si="0"/>
        <v>0</v>
      </c>
      <c r="F31" s="43"/>
    </row>
    <row r="32" spans="1:6" ht="20.100000000000001" customHeight="1" thickBot="1">
      <c r="A32" s="45" t="e">
        <f>VLOOKUP(A20,DATA!$Y$2:$AA$41,2,FALSE)</f>
        <v>#N/A</v>
      </c>
      <c r="B32" s="50">
        <f>'F1 Forecast Consultant'!B32</f>
        <v>0</v>
      </c>
      <c r="C32" s="50">
        <f>'F1 Forecast Consultant'!C32</f>
        <v>0</v>
      </c>
      <c r="D32" s="50">
        <f>'F1 Forecast Contractor'!D32</f>
        <v>0</v>
      </c>
      <c r="E32" s="46">
        <f>SUM(E20:E31)</f>
        <v>0</v>
      </c>
      <c r="F32" s="47">
        <f>SUM(F20:F31)</f>
        <v>0</v>
      </c>
    </row>
    <row r="33" spans="1:6" ht="20.100000000000001" customHeight="1" thickTop="1">
      <c r="A33" s="549" t="e">
        <f>A31+31</f>
        <v>#N/A</v>
      </c>
      <c r="B33" s="570" t="str">
        <f>IF('F1 Forecast Consultant'!B33="","",'F1 Forecast Consultant'!B33)</f>
        <v/>
      </c>
      <c r="C33" s="571" t="str">
        <f>IF('F1 Forecast Consultant'!C33="","",'F1 Forecast Consultant'!C33)</f>
        <v/>
      </c>
      <c r="D33" s="415" t="str">
        <f>IF('F1 Forecast Contractor'!D33="","",'F1 Forecast Contractor'!D33)</f>
        <v/>
      </c>
      <c r="E33" s="48">
        <f t="shared" ref="E33:E44" si="1">SUM(B33:D33)</f>
        <v>0</v>
      </c>
      <c r="F33" s="43"/>
    </row>
    <row r="34" spans="1:6" ht="20.100000000000001" customHeight="1">
      <c r="A34" s="549" t="e">
        <f>+A33+30</f>
        <v>#N/A</v>
      </c>
      <c r="B34" s="40" t="str">
        <f>IF('F1 Forecast Consultant'!B34="","",'F1 Forecast Consultant'!B34)</f>
        <v/>
      </c>
      <c r="C34" s="41" t="str">
        <f>IF('F1 Forecast Consultant'!C34="","",'F1 Forecast Consultant'!C34)</f>
        <v/>
      </c>
      <c r="D34" s="416" t="str">
        <f>IF('F1 Forecast Contractor'!D34="","",'F1 Forecast Contractor'!D34)</f>
        <v/>
      </c>
      <c r="E34" s="48">
        <f t="shared" si="1"/>
        <v>0</v>
      </c>
      <c r="F34" s="43"/>
    </row>
    <row r="35" spans="1:6" ht="20.100000000000001" customHeight="1">
      <c r="A35" s="549" t="e">
        <f>+A34+31</f>
        <v>#N/A</v>
      </c>
      <c r="B35" s="40" t="str">
        <f>IF('F1 Forecast Consultant'!B35="","",'F1 Forecast Consultant'!B35)</f>
        <v/>
      </c>
      <c r="C35" s="41" t="str">
        <f>IF('F1 Forecast Consultant'!C35="","",'F1 Forecast Consultant'!C35)</f>
        <v/>
      </c>
      <c r="D35" s="416" t="str">
        <f>IF('F1 Forecast Contractor'!D35="","",'F1 Forecast Contractor'!D35)</f>
        <v/>
      </c>
      <c r="E35" s="48">
        <f t="shared" si="1"/>
        <v>0</v>
      </c>
      <c r="F35" s="43"/>
    </row>
    <row r="36" spans="1:6" ht="20.100000000000001" customHeight="1">
      <c r="A36" s="549" t="e">
        <f>+A35+30</f>
        <v>#N/A</v>
      </c>
      <c r="B36" s="40" t="str">
        <f>IF('F1 Forecast Consultant'!B36="","",'F1 Forecast Consultant'!B36)</f>
        <v/>
      </c>
      <c r="C36" s="41" t="str">
        <f>IF('F1 Forecast Consultant'!C36="","",'F1 Forecast Consultant'!C36)</f>
        <v/>
      </c>
      <c r="D36" s="416" t="str">
        <f>IF('F1 Forecast Contractor'!D36="","",'F1 Forecast Contractor'!D36)</f>
        <v/>
      </c>
      <c r="E36" s="48">
        <f t="shared" si="1"/>
        <v>0</v>
      </c>
      <c r="F36" s="43"/>
    </row>
    <row r="37" spans="1:6" ht="20.100000000000001" customHeight="1">
      <c r="A37" s="549" t="e">
        <f>+A36+31</f>
        <v>#N/A</v>
      </c>
      <c r="B37" s="40" t="str">
        <f>IF('F1 Forecast Consultant'!B37="","",'F1 Forecast Consultant'!B37)</f>
        <v/>
      </c>
      <c r="C37" s="41" t="str">
        <f>IF('F1 Forecast Consultant'!C37="","",'F1 Forecast Consultant'!C37)</f>
        <v/>
      </c>
      <c r="D37" s="416" t="str">
        <f>IF('F1 Forecast Contractor'!D37="","",'F1 Forecast Contractor'!D37)</f>
        <v/>
      </c>
      <c r="E37" s="48">
        <f t="shared" si="1"/>
        <v>0</v>
      </c>
      <c r="F37" s="43"/>
    </row>
    <row r="38" spans="1:6" ht="20.100000000000001" customHeight="1">
      <c r="A38" s="549" t="e">
        <f>+A37+31</f>
        <v>#N/A</v>
      </c>
      <c r="B38" s="40" t="str">
        <f>IF('F1 Forecast Consultant'!B38="","",'F1 Forecast Consultant'!B38)</f>
        <v/>
      </c>
      <c r="C38" s="41" t="str">
        <f>IF('F1 Forecast Consultant'!C38="","",'F1 Forecast Consultant'!C38)</f>
        <v/>
      </c>
      <c r="D38" s="416" t="str">
        <f>IF('F1 Forecast Contractor'!D38="","",'F1 Forecast Contractor'!D38)</f>
        <v/>
      </c>
      <c r="E38" s="48">
        <f t="shared" si="1"/>
        <v>0</v>
      </c>
      <c r="F38" s="43"/>
    </row>
    <row r="39" spans="1:6" ht="20.100000000000001" customHeight="1">
      <c r="A39" s="549" t="e">
        <f>+A38+30</f>
        <v>#N/A</v>
      </c>
      <c r="B39" s="40" t="str">
        <f>IF('F1 Forecast Consultant'!B39="","",'F1 Forecast Consultant'!B39)</f>
        <v/>
      </c>
      <c r="C39" s="41" t="str">
        <f>IF('F1 Forecast Consultant'!C39="","",'F1 Forecast Consultant'!C39)</f>
        <v/>
      </c>
      <c r="D39" s="416" t="str">
        <f>IF('F1 Forecast Contractor'!D39="","",'F1 Forecast Contractor'!D39)</f>
        <v/>
      </c>
      <c r="E39" s="48">
        <f t="shared" si="1"/>
        <v>0</v>
      </c>
      <c r="F39" s="43"/>
    </row>
    <row r="40" spans="1:6" ht="20.100000000000001" customHeight="1">
      <c r="A40" s="549" t="e">
        <f>+A39+31</f>
        <v>#N/A</v>
      </c>
      <c r="B40" s="40" t="str">
        <f>IF('F1 Forecast Consultant'!B40="","",'F1 Forecast Consultant'!B40)</f>
        <v/>
      </c>
      <c r="C40" s="41" t="str">
        <f>IF('F1 Forecast Consultant'!C40="","",'F1 Forecast Consultant'!C40)</f>
        <v/>
      </c>
      <c r="D40" s="416" t="str">
        <f>IF('F1 Forecast Contractor'!D40="","",'F1 Forecast Contractor'!D40)</f>
        <v/>
      </c>
      <c r="E40" s="48">
        <f t="shared" si="1"/>
        <v>0</v>
      </c>
      <c r="F40" s="43"/>
    </row>
    <row r="41" spans="1:6" ht="20.100000000000001" customHeight="1">
      <c r="A41" s="549" t="e">
        <f>+A40+30</f>
        <v>#N/A</v>
      </c>
      <c r="B41" s="40" t="str">
        <f>IF('F1 Forecast Consultant'!B41="","",'F1 Forecast Consultant'!B41)</f>
        <v/>
      </c>
      <c r="C41" s="41" t="str">
        <f>IF('F1 Forecast Consultant'!C41="","",'F1 Forecast Consultant'!C41)</f>
        <v/>
      </c>
      <c r="D41" s="416" t="str">
        <f>IF('F1 Forecast Contractor'!D41="","",'F1 Forecast Contractor'!D41)</f>
        <v/>
      </c>
      <c r="E41" s="48">
        <f t="shared" si="1"/>
        <v>0</v>
      </c>
      <c r="F41" s="43"/>
    </row>
    <row r="42" spans="1:6" ht="20.100000000000001" customHeight="1">
      <c r="A42" s="549" t="e">
        <f>+A41+31</f>
        <v>#N/A</v>
      </c>
      <c r="B42" s="40" t="str">
        <f>IF('F1 Forecast Consultant'!B42="","",'F1 Forecast Consultant'!B42)</f>
        <v/>
      </c>
      <c r="C42" s="41" t="str">
        <f>IF('F1 Forecast Consultant'!C42="","",'F1 Forecast Consultant'!C42)</f>
        <v/>
      </c>
      <c r="D42" s="416" t="str">
        <f>IF('F1 Forecast Contractor'!D42="","",'F1 Forecast Contractor'!D42)</f>
        <v/>
      </c>
      <c r="E42" s="48">
        <f t="shared" si="1"/>
        <v>0</v>
      </c>
      <c r="F42" s="43"/>
    </row>
    <row r="43" spans="1:6" ht="20.100000000000001" customHeight="1">
      <c r="A43" s="549" t="e">
        <f>+A42+31</f>
        <v>#N/A</v>
      </c>
      <c r="B43" s="40" t="str">
        <f>IF('F1 Forecast Consultant'!B43="","",'F1 Forecast Consultant'!B43)</f>
        <v/>
      </c>
      <c r="C43" s="41" t="str">
        <f>IF('F1 Forecast Consultant'!C43="","",'F1 Forecast Consultant'!C43)</f>
        <v/>
      </c>
      <c r="D43" s="416" t="str">
        <f>IF('F1 Forecast Contractor'!D43="","",'F1 Forecast Contractor'!D43)</f>
        <v/>
      </c>
      <c r="E43" s="48">
        <f t="shared" si="1"/>
        <v>0</v>
      </c>
      <c r="F43" s="43"/>
    </row>
    <row r="44" spans="1:6" ht="20.100000000000001" customHeight="1">
      <c r="A44" s="549" t="e">
        <f>IF(ISNA(VLOOKUP(A43,DATA!$E$4:$E$13,1,FALSE))=TRUE,A43+28,A43+29)</f>
        <v>#N/A</v>
      </c>
      <c r="B44" s="569" t="str">
        <f>IF('F1 Forecast Consultant'!B44="","",'F1 Forecast Consultant'!B44)</f>
        <v/>
      </c>
      <c r="C44" s="44" t="str">
        <f>IF('F1 Forecast Consultant'!C44="","",'F1 Forecast Consultant'!C44)</f>
        <v/>
      </c>
      <c r="D44" s="580" t="str">
        <f>IF('F1 Forecast Contractor'!D44="","",'F1 Forecast Contractor'!D44)</f>
        <v/>
      </c>
      <c r="E44" s="48">
        <f t="shared" si="1"/>
        <v>0</v>
      </c>
      <c r="F44" s="43"/>
    </row>
    <row r="45" spans="1:6" ht="20.100000000000001" customHeight="1" thickBot="1">
      <c r="A45" s="45" t="e">
        <f>VLOOKUP(A33,DATA!$Y$2:$AA$41,2,FALSE)</f>
        <v>#N/A</v>
      </c>
      <c r="B45" s="50">
        <f>'F1 Forecast Consultant'!B45</f>
        <v>0</v>
      </c>
      <c r="C45" s="50">
        <f>'F1 Forecast Consultant'!C45</f>
        <v>0</v>
      </c>
      <c r="D45" s="417">
        <f>'F1 Forecast Contractor'!D45</f>
        <v>0</v>
      </c>
      <c r="E45" s="413">
        <f>SUM(E33:E44)</f>
        <v>0</v>
      </c>
      <c r="F45" s="51">
        <f>SUM(F33:F44)</f>
        <v>0</v>
      </c>
    </row>
    <row r="46" spans="1:6" ht="20.100000000000001" customHeight="1" thickTop="1">
      <c r="A46" s="549" t="e">
        <f>A44+31</f>
        <v>#N/A</v>
      </c>
      <c r="B46" s="570" t="str">
        <f>IF('F1 Forecast Consultant'!B46="","",'F1 Forecast Consultant'!B46)</f>
        <v/>
      </c>
      <c r="C46" s="571" t="str">
        <f>IF('F1 Forecast Consultant'!C46="","",'F1 Forecast Consultant'!C46)</f>
        <v/>
      </c>
      <c r="D46" s="415" t="str">
        <f>IF('F1 Forecast Contractor'!D46="","",'F1 Forecast Contractor'!D46)</f>
        <v/>
      </c>
      <c r="E46" s="48">
        <f>SUM(B46:D46)</f>
        <v>0</v>
      </c>
      <c r="F46" s="43"/>
    </row>
    <row r="47" spans="1:6" ht="20.100000000000001" customHeight="1">
      <c r="A47" s="549" t="e">
        <f>+A46+30</f>
        <v>#N/A</v>
      </c>
      <c r="B47" s="40" t="str">
        <f>IF('F1 Forecast Consultant'!B47="","",'F1 Forecast Consultant'!B47)</f>
        <v/>
      </c>
      <c r="C47" s="41" t="str">
        <f>IF('F1 Forecast Consultant'!C47="","",'F1 Forecast Consultant'!C47)</f>
        <v/>
      </c>
      <c r="D47" s="416" t="str">
        <f>IF('F1 Forecast Contractor'!D47="","",'F1 Forecast Contractor'!D47)</f>
        <v/>
      </c>
      <c r="E47" s="48">
        <f t="shared" ref="E47:E56" si="2">SUM(B47:D47)</f>
        <v>0</v>
      </c>
      <c r="F47" s="43"/>
    </row>
    <row r="48" spans="1:6" ht="20.100000000000001" customHeight="1">
      <c r="A48" s="549" t="e">
        <f>+A47+31</f>
        <v>#N/A</v>
      </c>
      <c r="B48" s="40" t="str">
        <f>IF('F1 Forecast Consultant'!B48="","",'F1 Forecast Consultant'!B48)</f>
        <v/>
      </c>
      <c r="C48" s="41" t="str">
        <f>IF('F1 Forecast Consultant'!C48="","",'F1 Forecast Consultant'!C48)</f>
        <v/>
      </c>
      <c r="D48" s="416" t="str">
        <f>IF('F1 Forecast Contractor'!D48="","",'F1 Forecast Contractor'!D48)</f>
        <v/>
      </c>
      <c r="E48" s="48">
        <f t="shared" si="2"/>
        <v>0</v>
      </c>
      <c r="F48" s="43"/>
    </row>
    <row r="49" spans="1:6" ht="20.100000000000001" customHeight="1">
      <c r="A49" s="549" t="e">
        <f>+A48+30</f>
        <v>#N/A</v>
      </c>
      <c r="B49" s="40" t="str">
        <f>IF('F1 Forecast Consultant'!B49="","",'F1 Forecast Consultant'!B49)</f>
        <v/>
      </c>
      <c r="C49" s="41" t="str">
        <f>IF('F1 Forecast Consultant'!C49="","",'F1 Forecast Consultant'!C49)</f>
        <v/>
      </c>
      <c r="D49" s="416" t="str">
        <f>IF('F1 Forecast Contractor'!D49="","",'F1 Forecast Contractor'!D49)</f>
        <v/>
      </c>
      <c r="E49" s="48">
        <f t="shared" si="2"/>
        <v>0</v>
      </c>
      <c r="F49" s="43"/>
    </row>
    <row r="50" spans="1:6" ht="20.100000000000001" customHeight="1">
      <c r="A50" s="549" t="e">
        <f>+A49+31</f>
        <v>#N/A</v>
      </c>
      <c r="B50" s="40" t="str">
        <f>IF('F1 Forecast Consultant'!B50="","",'F1 Forecast Consultant'!B50)</f>
        <v/>
      </c>
      <c r="C50" s="41" t="str">
        <f>IF('F1 Forecast Consultant'!C50="","",'F1 Forecast Consultant'!C50)</f>
        <v/>
      </c>
      <c r="D50" s="416" t="str">
        <f>IF('F1 Forecast Contractor'!D50="","",'F1 Forecast Contractor'!D50)</f>
        <v/>
      </c>
      <c r="E50" s="48">
        <f t="shared" si="2"/>
        <v>0</v>
      </c>
      <c r="F50" s="43"/>
    </row>
    <row r="51" spans="1:6" ht="20.100000000000001" customHeight="1">
      <c r="A51" s="549" t="e">
        <f>+A50+31</f>
        <v>#N/A</v>
      </c>
      <c r="B51" s="40" t="str">
        <f>IF('F1 Forecast Consultant'!B51="","",'F1 Forecast Consultant'!B51)</f>
        <v/>
      </c>
      <c r="C51" s="41" t="str">
        <f>IF('F1 Forecast Consultant'!C51="","",'F1 Forecast Consultant'!C51)</f>
        <v/>
      </c>
      <c r="D51" s="416" t="str">
        <f>IF('F1 Forecast Contractor'!D51="","",'F1 Forecast Contractor'!D51)</f>
        <v/>
      </c>
      <c r="E51" s="48">
        <f t="shared" si="2"/>
        <v>0</v>
      </c>
      <c r="F51" s="43"/>
    </row>
    <row r="52" spans="1:6" ht="20.100000000000001" customHeight="1">
      <c r="A52" s="549" t="e">
        <f>+A51+30</f>
        <v>#N/A</v>
      </c>
      <c r="B52" s="40" t="str">
        <f>IF('F1 Forecast Consultant'!B52="","",'F1 Forecast Consultant'!B52)</f>
        <v/>
      </c>
      <c r="C52" s="41" t="str">
        <f>IF('F1 Forecast Consultant'!C52="","",'F1 Forecast Consultant'!C52)</f>
        <v/>
      </c>
      <c r="D52" s="416" t="str">
        <f>IF('F1 Forecast Contractor'!D52="","",'F1 Forecast Contractor'!D52)</f>
        <v/>
      </c>
      <c r="E52" s="48">
        <f t="shared" si="2"/>
        <v>0</v>
      </c>
      <c r="F52" s="43"/>
    </row>
    <row r="53" spans="1:6" ht="20.100000000000001" customHeight="1">
      <c r="A53" s="549" t="e">
        <f>+A52+31</f>
        <v>#N/A</v>
      </c>
      <c r="B53" s="40" t="str">
        <f>IF('F1 Forecast Consultant'!B53="","",'F1 Forecast Consultant'!B53)</f>
        <v/>
      </c>
      <c r="C53" s="41" t="str">
        <f>IF('F1 Forecast Consultant'!C53="","",'F1 Forecast Consultant'!C53)</f>
        <v/>
      </c>
      <c r="D53" s="416" t="str">
        <f>IF('F1 Forecast Contractor'!D53="","",'F1 Forecast Contractor'!D53)</f>
        <v/>
      </c>
      <c r="E53" s="48">
        <f t="shared" si="2"/>
        <v>0</v>
      </c>
      <c r="F53" s="43"/>
    </row>
    <row r="54" spans="1:6" ht="20.100000000000001" customHeight="1">
      <c r="A54" s="549" t="e">
        <f>+A53+30</f>
        <v>#N/A</v>
      </c>
      <c r="B54" s="40" t="str">
        <f>IF('F1 Forecast Consultant'!B54="","",'F1 Forecast Consultant'!B54)</f>
        <v/>
      </c>
      <c r="C54" s="41" t="str">
        <f>IF('F1 Forecast Consultant'!C54="","",'F1 Forecast Consultant'!C54)</f>
        <v/>
      </c>
      <c r="D54" s="416" t="str">
        <f>IF('F1 Forecast Contractor'!D54="","",'F1 Forecast Contractor'!D54)</f>
        <v/>
      </c>
      <c r="E54" s="48">
        <f t="shared" si="2"/>
        <v>0</v>
      </c>
      <c r="F54" s="43"/>
    </row>
    <row r="55" spans="1:6" ht="20.100000000000001" customHeight="1">
      <c r="A55" s="549" t="e">
        <f>+A54+31</f>
        <v>#N/A</v>
      </c>
      <c r="B55" s="40" t="str">
        <f>IF('F1 Forecast Consultant'!B55="","",'F1 Forecast Consultant'!B55)</f>
        <v/>
      </c>
      <c r="C55" s="41" t="str">
        <f>IF('F1 Forecast Consultant'!C55="","",'F1 Forecast Consultant'!C55)</f>
        <v/>
      </c>
      <c r="D55" s="416" t="str">
        <f>IF('F1 Forecast Contractor'!D55="","",'F1 Forecast Contractor'!D55)</f>
        <v/>
      </c>
      <c r="E55" s="48">
        <f t="shared" si="2"/>
        <v>0</v>
      </c>
      <c r="F55" s="43"/>
    </row>
    <row r="56" spans="1:6" ht="20.100000000000001" customHeight="1">
      <c r="A56" s="549" t="e">
        <f>+A55+31</f>
        <v>#N/A</v>
      </c>
      <c r="B56" s="40" t="str">
        <f>IF('F1 Forecast Consultant'!B56="","",'F1 Forecast Consultant'!B56)</f>
        <v/>
      </c>
      <c r="C56" s="41" t="str">
        <f>IF('F1 Forecast Consultant'!C56="","",'F1 Forecast Consultant'!C56)</f>
        <v/>
      </c>
      <c r="D56" s="416" t="str">
        <f>IF('F1 Forecast Contractor'!D56="","",'F1 Forecast Contractor'!D56)</f>
        <v/>
      </c>
      <c r="E56" s="48">
        <f t="shared" si="2"/>
        <v>0</v>
      </c>
      <c r="F56" s="43"/>
    </row>
    <row r="57" spans="1:6" ht="20.100000000000001" customHeight="1">
      <c r="A57" s="549" t="e">
        <f>IF(ISNA(VLOOKUP(A56,DATA!$E$4:$E$13,1,FALSE))=TRUE,A56+28,A56+29)</f>
        <v>#N/A</v>
      </c>
      <c r="B57" s="569" t="str">
        <f>IF('F1 Forecast Consultant'!B57="","",'F1 Forecast Consultant'!B57)</f>
        <v/>
      </c>
      <c r="C57" s="44" t="str">
        <f>IF('F1 Forecast Consultant'!C57="","",'F1 Forecast Consultant'!C57)</f>
        <v/>
      </c>
      <c r="D57" s="580" t="str">
        <f>IF('F1 Forecast Contractor'!D57="","",'F1 Forecast Contractor'!D57)</f>
        <v/>
      </c>
      <c r="E57" s="48">
        <f>SUM(B57:D57)</f>
        <v>0</v>
      </c>
      <c r="F57" s="43"/>
    </row>
    <row r="58" spans="1:6" ht="20.100000000000001" customHeight="1" thickBot="1">
      <c r="A58" s="45" t="e">
        <f>VLOOKUP(A46,DATA!$Y$2:$AA$41,2,FALSE)</f>
        <v>#N/A</v>
      </c>
      <c r="B58" s="50">
        <f>'F1 Forecast Consultant'!B58</f>
        <v>0</v>
      </c>
      <c r="C58" s="50">
        <f>'F1 Forecast Consultant'!C58</f>
        <v>0</v>
      </c>
      <c r="D58" s="417">
        <f>'F1 Forecast Contractor'!D58</f>
        <v>0</v>
      </c>
      <c r="E58" s="413">
        <f>SUM(E46:E57)</f>
        <v>0</v>
      </c>
      <c r="F58" s="51">
        <f>SUM(F46:F57)</f>
        <v>0</v>
      </c>
    </row>
    <row r="59" spans="1:6" ht="20.100000000000001" customHeight="1" thickTop="1" thickBot="1">
      <c r="A59" s="52" t="s">
        <v>141</v>
      </c>
      <c r="B59" s="418">
        <f>'F1 Forecast Consultant'!B59</f>
        <v>0</v>
      </c>
      <c r="C59" s="418">
        <f>'F1 Forecast Consultant'!C59</f>
        <v>0</v>
      </c>
      <c r="D59" s="419">
        <f>'F1 Forecast Contractor'!D59</f>
        <v>0</v>
      </c>
      <c r="E59" s="414">
        <f>+E32+E45+E58</f>
        <v>0</v>
      </c>
      <c r="F59" s="54">
        <f>+F32+F45+F58</f>
        <v>0</v>
      </c>
    </row>
    <row r="60" spans="1:6" ht="20.100000000000001" customHeight="1">
      <c r="A60" s="55" t="s">
        <v>142</v>
      </c>
      <c r="B60" s="55" t="s">
        <v>143</v>
      </c>
    </row>
    <row r="61" spans="1:6" ht="20.100000000000001" customHeight="1">
      <c r="A61" s="55"/>
      <c r="B61" s="55"/>
    </row>
    <row r="63" spans="1:6" ht="20.100000000000001" customHeight="1" thickBot="1"/>
    <row r="64" spans="1:6" ht="20.100000000000001" customHeight="1">
      <c r="A64" s="14"/>
      <c r="B64" s="1106" t="s">
        <v>117</v>
      </c>
      <c r="C64" s="1107"/>
      <c r="D64" s="1110" t="s">
        <v>118</v>
      </c>
      <c r="E64" s="1111"/>
      <c r="F64" s="15" t="s">
        <v>119</v>
      </c>
    </row>
    <row r="65" spans="1:6" ht="20.100000000000001" customHeight="1">
      <c r="A65" s="17"/>
      <c r="B65" s="1108"/>
      <c r="C65" s="1109"/>
      <c r="D65" s="1112" t="str">
        <f>D2</f>
        <v>Routine Road Maintenance</v>
      </c>
      <c r="E65" s="1113"/>
      <c r="F65" s="18" t="s">
        <v>353</v>
      </c>
    </row>
    <row r="66" spans="1:6" ht="20.100000000000001" customHeight="1">
      <c r="A66" s="17"/>
      <c r="B66" s="1114" t="s">
        <v>120</v>
      </c>
      <c r="C66" s="1116" t="str">
        <f>C3</f>
        <v>WESTERN</v>
      </c>
      <c r="D66" s="19" t="s">
        <v>121</v>
      </c>
      <c r="E66" s="548" t="str">
        <f>E3</f>
        <v>X.002-180-2024/1RF</v>
      </c>
      <c r="F66" s="57" t="s">
        <v>367</v>
      </c>
    </row>
    <row r="67" spans="1:6" ht="20.100000000000001" customHeight="1" thickBot="1">
      <c r="A67" s="20"/>
      <c r="B67" s="1115"/>
      <c r="C67" s="1117"/>
      <c r="D67" s="21" t="s">
        <v>366</v>
      </c>
      <c r="E67" s="420">
        <f>E4</f>
        <v>1</v>
      </c>
      <c r="F67" s="421">
        <f>F4</f>
        <v>0</v>
      </c>
    </row>
    <row r="68" spans="1:6" ht="20.100000000000001" customHeight="1">
      <c r="A68" s="1097" t="s">
        <v>418</v>
      </c>
      <c r="B68" s="1098"/>
      <c r="C68" s="1098"/>
      <c r="D68" s="1098"/>
      <c r="E68" s="1098"/>
      <c r="F68" s="1099"/>
    </row>
    <row r="69" spans="1:6" ht="20.100000000000001" customHeight="1">
      <c r="A69" s="1100"/>
      <c r="B69" s="1101"/>
      <c r="C69" s="1101"/>
      <c r="D69" s="1101"/>
      <c r="E69" s="1101"/>
      <c r="F69" s="1102"/>
    </row>
    <row r="70" spans="1:6" ht="20.100000000000001" customHeight="1" thickBot="1">
      <c r="A70" s="1103"/>
      <c r="B70" s="1104"/>
      <c r="C70" s="1104"/>
      <c r="D70" s="1104"/>
      <c r="E70" s="1104"/>
      <c r="F70" s="1105"/>
    </row>
    <row r="71" spans="1:6" ht="20.100000000000001" customHeight="1">
      <c r="A71" s="24" t="s">
        <v>123</v>
      </c>
      <c r="B71" s="398" t="str">
        <f>E66</f>
        <v>X.002-180-2024/1RF</v>
      </c>
      <c r="C71" s="399"/>
      <c r="D71" s="399"/>
      <c r="E71" s="399"/>
      <c r="F71" s="400"/>
    </row>
    <row r="72" spans="1:6" ht="20.100000000000001" customHeight="1">
      <c r="A72" s="1129" t="s">
        <v>124</v>
      </c>
      <c r="B72" s="1131" t="str">
        <f>B9</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C72" s="1132"/>
      <c r="D72" s="1132"/>
      <c r="E72" s="1132"/>
      <c r="F72" s="1133"/>
    </row>
    <row r="73" spans="1:6" ht="20.100000000000001" customHeight="1">
      <c r="A73" s="1130"/>
      <c r="B73" s="1134"/>
      <c r="C73" s="1135"/>
      <c r="D73" s="1135"/>
      <c r="E73" s="1135"/>
      <c r="F73" s="1136"/>
    </row>
    <row r="74" spans="1:6" ht="20.100000000000001" customHeight="1">
      <c r="A74" s="25" t="s">
        <v>125</v>
      </c>
      <c r="B74" s="1137">
        <f t="shared" ref="B74:B79" si="3">B11</f>
        <v>45433</v>
      </c>
      <c r="C74" s="1138"/>
      <c r="D74" s="27" t="s">
        <v>126</v>
      </c>
      <c r="E74" s="1139" t="str">
        <f>E11</f>
        <v/>
      </c>
      <c r="F74" s="1140"/>
    </row>
    <row r="75" spans="1:6" ht="20.100000000000001" customHeight="1">
      <c r="A75" s="26" t="s">
        <v>127</v>
      </c>
      <c r="B75" s="1141" t="str">
        <f t="shared" si="3"/>
        <v/>
      </c>
      <c r="C75" s="1142"/>
      <c r="D75" s="1142"/>
      <c r="E75" s="1142"/>
      <c r="F75" s="1143"/>
    </row>
    <row r="76" spans="1:6" ht="20.100000000000001" customHeight="1">
      <c r="A76" s="27" t="s">
        <v>128</v>
      </c>
      <c r="B76" s="392">
        <f t="shared" si="3"/>
        <v>25537475</v>
      </c>
      <c r="C76" s="397" t="s">
        <v>129</v>
      </c>
      <c r="D76" s="390"/>
      <c r="E76" s="390"/>
      <c r="F76" s="391"/>
    </row>
    <row r="77" spans="1:6" ht="20.100000000000001" customHeight="1">
      <c r="A77" s="26" t="s">
        <v>130</v>
      </c>
      <c r="B77" s="1144" t="str">
        <f t="shared" si="3"/>
        <v/>
      </c>
      <c r="C77" s="1145"/>
      <c r="D77" s="1146"/>
      <c r="E77" s="390"/>
      <c r="F77" s="391"/>
    </row>
    <row r="78" spans="1:6" ht="20.100000000000001" customHeight="1">
      <c r="A78" s="25" t="s">
        <v>125</v>
      </c>
      <c r="B78" s="1147" t="str">
        <f t="shared" si="3"/>
        <v/>
      </c>
      <c r="C78" s="1148"/>
      <c r="D78" s="27" t="s">
        <v>126</v>
      </c>
      <c r="E78" s="1118" t="str">
        <f>E15</f>
        <v/>
      </c>
      <c r="F78" s="1119"/>
    </row>
    <row r="79" spans="1:6" ht="37.5" customHeight="1" thickBot="1">
      <c r="A79" s="30" t="s">
        <v>131</v>
      </c>
      <c r="B79" s="393">
        <f t="shared" si="3"/>
        <v>0</v>
      </c>
      <c r="C79" s="394" t="s">
        <v>129</v>
      </c>
      <c r="D79" s="390"/>
      <c r="E79" s="395"/>
      <c r="F79" s="396"/>
    </row>
    <row r="80" spans="1:6" ht="20.100000000000001" customHeight="1">
      <c r="A80" s="1120" t="s">
        <v>132</v>
      </c>
      <c r="B80" s="1123" t="s">
        <v>133</v>
      </c>
      <c r="C80" s="1124"/>
      <c r="D80" s="1124"/>
      <c r="E80" s="1125"/>
      <c r="F80" s="33" t="s">
        <v>134</v>
      </c>
    </row>
    <row r="81" spans="1:6" ht="20.100000000000001" customHeight="1">
      <c r="A81" s="1121"/>
      <c r="B81" s="1126" t="s">
        <v>129</v>
      </c>
      <c r="C81" s="1127"/>
      <c r="D81" s="1127"/>
      <c r="E81" s="1128"/>
      <c r="F81" s="34" t="s">
        <v>129</v>
      </c>
    </row>
    <row r="82" spans="1:6" ht="20.100000000000001" customHeight="1" thickBot="1">
      <c r="A82" s="1122"/>
      <c r="B82" s="35" t="s">
        <v>135</v>
      </c>
      <c r="C82" s="36" t="s">
        <v>136</v>
      </c>
      <c r="D82" s="37" t="s">
        <v>137</v>
      </c>
      <c r="E82" s="36" t="s">
        <v>50</v>
      </c>
      <c r="F82" s="38"/>
    </row>
    <row r="83" spans="1:6" ht="20.100000000000001" customHeight="1" thickBot="1">
      <c r="A83" s="550" t="s">
        <v>420</v>
      </c>
      <c r="B83" s="551">
        <f>B59</f>
        <v>0</v>
      </c>
      <c r="C83" s="552">
        <f>C59</f>
        <v>0</v>
      </c>
      <c r="D83" s="553">
        <f>D59</f>
        <v>0</v>
      </c>
      <c r="E83" s="552">
        <f>E59</f>
        <v>0</v>
      </c>
      <c r="F83" s="47">
        <f>F59</f>
        <v>0</v>
      </c>
    </row>
    <row r="84" spans="1:6" ht="20.100000000000001" customHeight="1" thickTop="1">
      <c r="A84" s="549" t="e">
        <f>A57+31</f>
        <v>#N/A</v>
      </c>
      <c r="B84" s="570" t="str">
        <f>IF('F1 Forecast Consultant'!B84="","",'F1 Forecast Consultant'!B84)</f>
        <v/>
      </c>
      <c r="C84" s="571" t="str">
        <f>IF('F1 Forecast Consultant'!C84="","",'F1 Forecast Consultant'!C84)</f>
        <v/>
      </c>
      <c r="D84" s="415" t="str">
        <f>IF('F1 Forecast Contractor'!D84="","",'F1 Forecast Contractor'!D84)</f>
        <v/>
      </c>
      <c r="E84" s="41">
        <f>SUM(B84:D84)</f>
        <v>0</v>
      </c>
      <c r="F84" s="43"/>
    </row>
    <row r="85" spans="1:6" ht="20.100000000000001" customHeight="1">
      <c r="A85" s="549" t="e">
        <f>+A84+30</f>
        <v>#N/A</v>
      </c>
      <c r="B85" s="40" t="str">
        <f>IF('F1 Forecast Consultant'!B85="","",'F1 Forecast Consultant'!B85)</f>
        <v/>
      </c>
      <c r="C85" s="41" t="str">
        <f>IF('F1 Forecast Consultant'!C85="","",'F1 Forecast Consultant'!C85)</f>
        <v/>
      </c>
      <c r="D85" s="416" t="str">
        <f>IF('F1 Forecast Contractor'!D85="","",'F1 Forecast Contractor'!D85)</f>
        <v/>
      </c>
      <c r="E85" s="41">
        <f>SUM(B85:D85)</f>
        <v>0</v>
      </c>
      <c r="F85" s="43"/>
    </row>
    <row r="86" spans="1:6" ht="20.100000000000001" customHeight="1">
      <c r="A86" s="549" t="e">
        <f>+A85+31</f>
        <v>#N/A</v>
      </c>
      <c r="B86" s="40" t="str">
        <f>IF('F1 Forecast Consultant'!B86="","",'F1 Forecast Consultant'!B86)</f>
        <v/>
      </c>
      <c r="C86" s="41" t="str">
        <f>IF('F1 Forecast Consultant'!C86="","",'F1 Forecast Consultant'!C86)</f>
        <v/>
      </c>
      <c r="D86" s="416" t="str">
        <f>IF('F1 Forecast Contractor'!D86="","",'F1 Forecast Contractor'!D86)</f>
        <v/>
      </c>
      <c r="E86" s="41">
        <f>SUM(B86:D86)</f>
        <v>0</v>
      </c>
      <c r="F86" s="43"/>
    </row>
    <row r="87" spans="1:6" ht="20.100000000000001" customHeight="1">
      <c r="A87" s="549" t="e">
        <f>+A86+30</f>
        <v>#N/A</v>
      </c>
      <c r="B87" s="40" t="str">
        <f>IF('F1 Forecast Consultant'!B87="","",'F1 Forecast Consultant'!B87)</f>
        <v/>
      </c>
      <c r="C87" s="41" t="str">
        <f>IF('F1 Forecast Consultant'!C87="","",'F1 Forecast Consultant'!C87)</f>
        <v/>
      </c>
      <c r="D87" s="416" t="str">
        <f>IF('F1 Forecast Contractor'!D87="","",'F1 Forecast Contractor'!D87)</f>
        <v/>
      </c>
      <c r="E87" s="41">
        <f>SUM(B87:D87)</f>
        <v>0</v>
      </c>
      <c r="F87" s="43"/>
    </row>
    <row r="88" spans="1:6" ht="20.100000000000001" customHeight="1">
      <c r="A88" s="549" t="e">
        <f>+A87+31</f>
        <v>#N/A</v>
      </c>
      <c r="B88" s="40" t="str">
        <f>IF('F1 Forecast Consultant'!B88="","",'F1 Forecast Consultant'!B88)</f>
        <v/>
      </c>
      <c r="C88" s="41" t="str">
        <f>IF('F1 Forecast Consultant'!C88="","",'F1 Forecast Consultant'!C88)</f>
        <v/>
      </c>
      <c r="D88" s="416" t="str">
        <f>IF('F1 Forecast Contractor'!D88="","",'F1 Forecast Contractor'!D88)</f>
        <v/>
      </c>
      <c r="E88" s="41">
        <f>SUM(B88:D88)</f>
        <v>0</v>
      </c>
      <c r="F88" s="43"/>
    </row>
    <row r="89" spans="1:6" ht="20.100000000000001" customHeight="1">
      <c r="A89" s="549" t="e">
        <f>+A88+31</f>
        <v>#N/A</v>
      </c>
      <c r="B89" s="40" t="str">
        <f>IF('F1 Forecast Consultant'!B89="","",'F1 Forecast Consultant'!B89)</f>
        <v/>
      </c>
      <c r="C89" s="41" t="str">
        <f>IF('F1 Forecast Consultant'!C89="","",'F1 Forecast Consultant'!C89)</f>
        <v/>
      </c>
      <c r="D89" s="416" t="str">
        <f>IF('F1 Forecast Contractor'!D89="","",'F1 Forecast Contractor'!D89)</f>
        <v/>
      </c>
      <c r="E89" s="41">
        <f t="shared" ref="E89:E95" si="4">SUM(B89:D89)</f>
        <v>0</v>
      </c>
      <c r="F89" s="43"/>
    </row>
    <row r="90" spans="1:6" ht="20.100000000000001" customHeight="1">
      <c r="A90" s="549" t="e">
        <f>+A89+30</f>
        <v>#N/A</v>
      </c>
      <c r="B90" s="40" t="str">
        <f>IF('F1 Forecast Consultant'!B90="","",'F1 Forecast Consultant'!B90)</f>
        <v/>
      </c>
      <c r="C90" s="41" t="str">
        <f>IF('F1 Forecast Consultant'!C90="","",'F1 Forecast Consultant'!C90)</f>
        <v/>
      </c>
      <c r="D90" s="416" t="str">
        <f>IF('F1 Forecast Contractor'!D90="","",'F1 Forecast Contractor'!D90)</f>
        <v/>
      </c>
      <c r="E90" s="41">
        <f t="shared" si="4"/>
        <v>0</v>
      </c>
      <c r="F90" s="43"/>
    </row>
    <row r="91" spans="1:6" ht="20.100000000000001" customHeight="1">
      <c r="A91" s="549" t="e">
        <f>+A90+31</f>
        <v>#N/A</v>
      </c>
      <c r="B91" s="40" t="str">
        <f>IF('F1 Forecast Consultant'!B91="","",'F1 Forecast Consultant'!B91)</f>
        <v/>
      </c>
      <c r="C91" s="41" t="str">
        <f>IF('F1 Forecast Consultant'!C91="","",'F1 Forecast Consultant'!C91)</f>
        <v/>
      </c>
      <c r="D91" s="416" t="str">
        <f>IF('F1 Forecast Contractor'!D91="","",'F1 Forecast Contractor'!D91)</f>
        <v/>
      </c>
      <c r="E91" s="41">
        <f t="shared" si="4"/>
        <v>0</v>
      </c>
      <c r="F91" s="43"/>
    </row>
    <row r="92" spans="1:6" ht="20.100000000000001" customHeight="1">
      <c r="A92" s="549" t="e">
        <f>+A91+30</f>
        <v>#N/A</v>
      </c>
      <c r="B92" s="40" t="str">
        <f>IF('F1 Forecast Consultant'!B92="","",'F1 Forecast Consultant'!B92)</f>
        <v/>
      </c>
      <c r="C92" s="41" t="str">
        <f>IF('F1 Forecast Consultant'!C92="","",'F1 Forecast Consultant'!C92)</f>
        <v/>
      </c>
      <c r="D92" s="416" t="str">
        <f>IF('F1 Forecast Contractor'!D92="","",'F1 Forecast Contractor'!D92)</f>
        <v/>
      </c>
      <c r="E92" s="41">
        <f t="shared" si="4"/>
        <v>0</v>
      </c>
      <c r="F92" s="43"/>
    </row>
    <row r="93" spans="1:6" ht="20.100000000000001" customHeight="1">
      <c r="A93" s="549" t="e">
        <f>+A92+31</f>
        <v>#N/A</v>
      </c>
      <c r="B93" s="40" t="str">
        <f>IF('F1 Forecast Consultant'!B93="","",'F1 Forecast Consultant'!B93)</f>
        <v/>
      </c>
      <c r="C93" s="41" t="str">
        <f>IF('F1 Forecast Consultant'!C93="","",'F1 Forecast Consultant'!C93)</f>
        <v/>
      </c>
      <c r="D93" s="416" t="str">
        <f>IF('F1 Forecast Contractor'!D93="","",'F1 Forecast Contractor'!D93)</f>
        <v/>
      </c>
      <c r="E93" s="41">
        <f t="shared" si="4"/>
        <v>0</v>
      </c>
      <c r="F93" s="43"/>
    </row>
    <row r="94" spans="1:6" ht="20.100000000000001" customHeight="1">
      <c r="A94" s="549" t="e">
        <f>+A93+31</f>
        <v>#N/A</v>
      </c>
      <c r="B94" s="40" t="str">
        <f>IF('F1 Forecast Consultant'!B94="","",'F1 Forecast Consultant'!B94)</f>
        <v/>
      </c>
      <c r="C94" s="41" t="str">
        <f>IF('F1 Forecast Consultant'!C94="","",'F1 Forecast Consultant'!C94)</f>
        <v/>
      </c>
      <c r="D94" s="416" t="str">
        <f>IF('F1 Forecast Contractor'!D94="","",'F1 Forecast Contractor'!D94)</f>
        <v/>
      </c>
      <c r="E94" s="41">
        <f t="shared" si="4"/>
        <v>0</v>
      </c>
      <c r="F94" s="43"/>
    </row>
    <row r="95" spans="1:6" ht="20.100000000000001" customHeight="1">
      <c r="A95" s="549" t="e">
        <f>IF(ISNA(VLOOKUP(A94,DATA!$E$4:$E$13,1,FALSE))=TRUE,A94+28,A94+29)</f>
        <v>#N/A</v>
      </c>
      <c r="B95" s="569" t="str">
        <f>IF('F1 Forecast Consultant'!B95="","",'F1 Forecast Consultant'!B95)</f>
        <v/>
      </c>
      <c r="C95" s="44" t="str">
        <f>IF('F1 Forecast Consultant'!C95="","",'F1 Forecast Consultant'!C95)</f>
        <v/>
      </c>
      <c r="D95" s="580" t="str">
        <f>IF('F1 Forecast Contractor'!D95="","",'F1 Forecast Contractor'!D95)</f>
        <v/>
      </c>
      <c r="E95" s="44">
        <f t="shared" si="4"/>
        <v>0</v>
      </c>
      <c r="F95" s="43"/>
    </row>
    <row r="96" spans="1:6" ht="20.100000000000001" customHeight="1" thickBot="1">
      <c r="A96" s="45" t="e">
        <f>VLOOKUP(A84,DATA!$Y$2:$AA$41,2,FALSE)</f>
        <v>#N/A</v>
      </c>
      <c r="B96" s="565">
        <f>'F1 Forecast Consultant'!B96</f>
        <v>0</v>
      </c>
      <c r="C96" s="566">
        <f>'F1 Forecast Consultant'!C96</f>
        <v>0</v>
      </c>
      <c r="D96" s="50">
        <f>'F1 Forecast Contractor'!D96</f>
        <v>0</v>
      </c>
      <c r="E96" s="46">
        <f>SUM(E84:E95)</f>
        <v>0</v>
      </c>
      <c r="F96" s="47">
        <f>SUM(F84:F95)</f>
        <v>0</v>
      </c>
    </row>
    <row r="97" spans="1:6" ht="20.100000000000001" customHeight="1" thickTop="1">
      <c r="A97" s="549" t="e">
        <f>A95+31</f>
        <v>#N/A</v>
      </c>
      <c r="B97" s="570" t="str">
        <f>IF('F1 Forecast Consultant'!B97="","",'F1 Forecast Consultant'!B97)</f>
        <v/>
      </c>
      <c r="C97" s="571" t="str">
        <f>IF('F1 Forecast Consultant'!C97="","",'F1 Forecast Consultant'!C97)</f>
        <v/>
      </c>
      <c r="D97" s="415" t="str">
        <f>IF('F1 Forecast Contractor'!D97="","",'F1 Forecast Contractor'!D97)</f>
        <v/>
      </c>
      <c r="E97" s="48">
        <f t="shared" ref="E97:E108" si="5">SUM(B97:D97)</f>
        <v>0</v>
      </c>
      <c r="F97" s="43"/>
    </row>
    <row r="98" spans="1:6" ht="20.100000000000001" customHeight="1">
      <c r="A98" s="549" t="e">
        <f>+A97+30</f>
        <v>#N/A</v>
      </c>
      <c r="B98" s="40" t="str">
        <f>IF('F1 Forecast Consultant'!B98="","",'F1 Forecast Consultant'!B98)</f>
        <v/>
      </c>
      <c r="C98" s="41" t="str">
        <f>IF('F1 Forecast Consultant'!C98="","",'F1 Forecast Consultant'!C98)</f>
        <v/>
      </c>
      <c r="D98" s="416" t="str">
        <f>IF('F1 Forecast Contractor'!D98="","",'F1 Forecast Contractor'!D98)</f>
        <v/>
      </c>
      <c r="E98" s="48">
        <f t="shared" si="5"/>
        <v>0</v>
      </c>
      <c r="F98" s="43"/>
    </row>
    <row r="99" spans="1:6" ht="20.100000000000001" customHeight="1">
      <c r="A99" s="549" t="e">
        <f>+A98+31</f>
        <v>#N/A</v>
      </c>
      <c r="B99" s="40" t="str">
        <f>IF('F1 Forecast Consultant'!B99="","",'F1 Forecast Consultant'!B99)</f>
        <v/>
      </c>
      <c r="C99" s="41" t="str">
        <f>IF('F1 Forecast Consultant'!C99="","",'F1 Forecast Consultant'!C99)</f>
        <v/>
      </c>
      <c r="D99" s="416" t="str">
        <f>IF('F1 Forecast Contractor'!D99="","",'F1 Forecast Contractor'!D99)</f>
        <v/>
      </c>
      <c r="E99" s="48">
        <f t="shared" si="5"/>
        <v>0</v>
      </c>
      <c r="F99" s="43"/>
    </row>
    <row r="100" spans="1:6" ht="20.100000000000001" customHeight="1">
      <c r="A100" s="549" t="e">
        <f>+A99+30</f>
        <v>#N/A</v>
      </c>
      <c r="B100" s="40" t="str">
        <f>IF('F1 Forecast Consultant'!B100="","",'F1 Forecast Consultant'!B100)</f>
        <v/>
      </c>
      <c r="C100" s="41" t="str">
        <f>IF('F1 Forecast Consultant'!C100="","",'F1 Forecast Consultant'!C100)</f>
        <v/>
      </c>
      <c r="D100" s="416" t="str">
        <f>IF('F1 Forecast Contractor'!D100="","",'F1 Forecast Contractor'!D100)</f>
        <v/>
      </c>
      <c r="E100" s="48">
        <f t="shared" si="5"/>
        <v>0</v>
      </c>
      <c r="F100" s="43"/>
    </row>
    <row r="101" spans="1:6" ht="20.100000000000001" customHeight="1">
      <c r="A101" s="549" t="e">
        <f>+A100+31</f>
        <v>#N/A</v>
      </c>
      <c r="B101" s="40" t="str">
        <f>IF('F1 Forecast Consultant'!B101="","",'F1 Forecast Consultant'!B101)</f>
        <v/>
      </c>
      <c r="C101" s="41" t="str">
        <f>IF('F1 Forecast Consultant'!C101="","",'F1 Forecast Consultant'!C101)</f>
        <v/>
      </c>
      <c r="D101" s="416" t="str">
        <f>IF('F1 Forecast Contractor'!D101="","",'F1 Forecast Contractor'!D101)</f>
        <v/>
      </c>
      <c r="E101" s="48">
        <f t="shared" si="5"/>
        <v>0</v>
      </c>
      <c r="F101" s="43"/>
    </row>
    <row r="102" spans="1:6" ht="20.100000000000001" customHeight="1">
      <c r="A102" s="549" t="e">
        <f>+A101+31</f>
        <v>#N/A</v>
      </c>
      <c r="B102" s="40" t="str">
        <f>IF('F1 Forecast Consultant'!B102="","",'F1 Forecast Consultant'!B102)</f>
        <v/>
      </c>
      <c r="C102" s="41" t="str">
        <f>IF('F1 Forecast Consultant'!C102="","",'F1 Forecast Consultant'!C102)</f>
        <v/>
      </c>
      <c r="D102" s="416" t="str">
        <f>IF('F1 Forecast Contractor'!D102="","",'F1 Forecast Contractor'!D102)</f>
        <v/>
      </c>
      <c r="E102" s="48">
        <f t="shared" si="5"/>
        <v>0</v>
      </c>
      <c r="F102" s="43"/>
    </row>
    <row r="103" spans="1:6" ht="20.100000000000001" customHeight="1">
      <c r="A103" s="549" t="e">
        <f>+A102+30</f>
        <v>#N/A</v>
      </c>
      <c r="B103" s="40" t="str">
        <f>IF('F1 Forecast Consultant'!B103="","",'F1 Forecast Consultant'!B103)</f>
        <v/>
      </c>
      <c r="C103" s="41" t="str">
        <f>IF('F1 Forecast Consultant'!C103="","",'F1 Forecast Consultant'!C103)</f>
        <v/>
      </c>
      <c r="D103" s="416" t="str">
        <f>IF('F1 Forecast Contractor'!D103="","",'F1 Forecast Contractor'!D103)</f>
        <v/>
      </c>
      <c r="E103" s="48">
        <f t="shared" si="5"/>
        <v>0</v>
      </c>
      <c r="F103" s="43"/>
    </row>
    <row r="104" spans="1:6" ht="20.100000000000001" customHeight="1">
      <c r="A104" s="549" t="e">
        <f>+A103+31</f>
        <v>#N/A</v>
      </c>
      <c r="B104" s="40" t="str">
        <f>IF('F1 Forecast Consultant'!B104="","",'F1 Forecast Consultant'!B104)</f>
        <v/>
      </c>
      <c r="C104" s="41" t="str">
        <f>IF('F1 Forecast Consultant'!C104="","",'F1 Forecast Consultant'!C104)</f>
        <v/>
      </c>
      <c r="D104" s="416" t="str">
        <f>IF('F1 Forecast Contractor'!D104="","",'F1 Forecast Contractor'!D104)</f>
        <v/>
      </c>
      <c r="E104" s="48">
        <f t="shared" si="5"/>
        <v>0</v>
      </c>
      <c r="F104" s="43"/>
    </row>
    <row r="105" spans="1:6" ht="20.100000000000001" customHeight="1">
      <c r="A105" s="549" t="e">
        <f>+A104+30</f>
        <v>#N/A</v>
      </c>
      <c r="B105" s="40" t="str">
        <f>IF('F1 Forecast Consultant'!B105="","",'F1 Forecast Consultant'!B105)</f>
        <v/>
      </c>
      <c r="C105" s="41" t="str">
        <f>IF('F1 Forecast Consultant'!C105="","",'F1 Forecast Consultant'!C105)</f>
        <v/>
      </c>
      <c r="D105" s="416" t="str">
        <f>IF('F1 Forecast Contractor'!D105="","",'F1 Forecast Contractor'!D105)</f>
        <v/>
      </c>
      <c r="E105" s="48">
        <f t="shared" si="5"/>
        <v>0</v>
      </c>
      <c r="F105" s="43"/>
    </row>
    <row r="106" spans="1:6" ht="20.100000000000001" customHeight="1">
      <c r="A106" s="549" t="e">
        <f>+A105+31</f>
        <v>#N/A</v>
      </c>
      <c r="B106" s="40" t="str">
        <f>IF('F1 Forecast Consultant'!B106="","",'F1 Forecast Consultant'!B106)</f>
        <v/>
      </c>
      <c r="C106" s="41" t="str">
        <f>IF('F1 Forecast Consultant'!C106="","",'F1 Forecast Consultant'!C106)</f>
        <v/>
      </c>
      <c r="D106" s="416" t="str">
        <f>IF('F1 Forecast Contractor'!D106="","",'F1 Forecast Contractor'!D106)</f>
        <v/>
      </c>
      <c r="E106" s="48">
        <f t="shared" si="5"/>
        <v>0</v>
      </c>
      <c r="F106" s="43"/>
    </row>
    <row r="107" spans="1:6" ht="20.100000000000001" customHeight="1">
      <c r="A107" s="549" t="e">
        <f>+A106+31</f>
        <v>#N/A</v>
      </c>
      <c r="B107" s="40" t="str">
        <f>IF('F1 Forecast Consultant'!B107="","",'F1 Forecast Consultant'!B107)</f>
        <v/>
      </c>
      <c r="C107" s="41" t="str">
        <f>IF('F1 Forecast Consultant'!C107="","",'F1 Forecast Consultant'!C107)</f>
        <v/>
      </c>
      <c r="D107" s="416" t="str">
        <f>IF('F1 Forecast Contractor'!D107="","",'F1 Forecast Contractor'!D107)</f>
        <v/>
      </c>
      <c r="E107" s="48">
        <f t="shared" si="5"/>
        <v>0</v>
      </c>
      <c r="F107" s="43"/>
    </row>
    <row r="108" spans="1:6" ht="20.100000000000001" customHeight="1">
      <c r="A108" s="549" t="e">
        <f>IF(ISNA(VLOOKUP(A107,DATA!$E$4:$E$13,1,FALSE))=TRUE,A107+28,A107+29)</f>
        <v>#N/A</v>
      </c>
      <c r="B108" s="569" t="str">
        <f>IF('F1 Forecast Consultant'!B108="","",'F1 Forecast Consultant'!B108)</f>
        <v/>
      </c>
      <c r="C108" s="44" t="str">
        <f>IF('F1 Forecast Consultant'!C108="","",'F1 Forecast Consultant'!C108)</f>
        <v/>
      </c>
      <c r="D108" s="580" t="str">
        <f>IF('F1 Forecast Contractor'!D108="","",'F1 Forecast Contractor'!D108)</f>
        <v/>
      </c>
      <c r="E108" s="48">
        <f t="shared" si="5"/>
        <v>0</v>
      </c>
      <c r="F108" s="43"/>
    </row>
    <row r="109" spans="1:6" ht="20.100000000000001" customHeight="1" thickBot="1">
      <c r="A109" s="45" t="e">
        <f>VLOOKUP(A97,DATA!$Y$2:$AA$41,2,FALSE)</f>
        <v>#N/A</v>
      </c>
      <c r="B109" s="565">
        <f>'F1 Forecast Consultant'!B109</f>
        <v>0</v>
      </c>
      <c r="C109" s="566">
        <f>'F1 Forecast Consultant'!C109</f>
        <v>0</v>
      </c>
      <c r="D109" s="417">
        <f>'F1 Forecast Contractor'!D109</f>
        <v>0</v>
      </c>
      <c r="E109" s="413">
        <f>SUM(E97:E108)</f>
        <v>0</v>
      </c>
      <c r="F109" s="51">
        <f>SUM(F97:F108)</f>
        <v>0</v>
      </c>
    </row>
    <row r="110" spans="1:6" ht="20.100000000000001" customHeight="1" thickTop="1">
      <c r="A110" s="549" t="e">
        <f>A108+31</f>
        <v>#N/A</v>
      </c>
      <c r="B110" s="570" t="str">
        <f>IF('F1 Forecast Consultant'!B110="","",'F1 Forecast Consultant'!B110)</f>
        <v/>
      </c>
      <c r="C110" s="571" t="str">
        <f>IF('F1 Forecast Consultant'!C110="","",'F1 Forecast Consultant'!C110)</f>
        <v/>
      </c>
      <c r="D110" s="415" t="str">
        <f>IF('F1 Forecast Contractor'!D110="","",'F1 Forecast Contractor'!D110)</f>
        <v/>
      </c>
      <c r="E110" s="48">
        <f>SUM(B110:D110)</f>
        <v>0</v>
      </c>
      <c r="F110" s="43"/>
    </row>
    <row r="111" spans="1:6" ht="20.100000000000001" customHeight="1">
      <c r="A111" s="549" t="e">
        <f>+A110+30</f>
        <v>#N/A</v>
      </c>
      <c r="B111" s="40" t="str">
        <f>IF('F1 Forecast Consultant'!B111="","",'F1 Forecast Consultant'!B111)</f>
        <v/>
      </c>
      <c r="C111" s="41" t="str">
        <f>IF('F1 Forecast Consultant'!C111="","",'F1 Forecast Consultant'!C111)</f>
        <v/>
      </c>
      <c r="D111" s="416" t="str">
        <f>IF('F1 Forecast Contractor'!D111="","",'F1 Forecast Contractor'!D111)</f>
        <v/>
      </c>
      <c r="E111" s="48">
        <f t="shared" ref="E111:E120" si="6">SUM(B111:D111)</f>
        <v>0</v>
      </c>
      <c r="F111" s="43"/>
    </row>
    <row r="112" spans="1:6" ht="20.100000000000001" customHeight="1">
      <c r="A112" s="549" t="e">
        <f>+A111+31</f>
        <v>#N/A</v>
      </c>
      <c r="B112" s="40" t="str">
        <f>IF('F1 Forecast Consultant'!B112="","",'F1 Forecast Consultant'!B112)</f>
        <v/>
      </c>
      <c r="C112" s="41" t="str">
        <f>IF('F1 Forecast Consultant'!C112="","",'F1 Forecast Consultant'!C112)</f>
        <v/>
      </c>
      <c r="D112" s="416" t="str">
        <f>IF('F1 Forecast Contractor'!D112="","",'F1 Forecast Contractor'!D112)</f>
        <v/>
      </c>
      <c r="E112" s="48">
        <f t="shared" si="6"/>
        <v>0</v>
      </c>
      <c r="F112" s="43"/>
    </row>
    <row r="113" spans="1:6" ht="20.100000000000001" customHeight="1">
      <c r="A113" s="549" t="e">
        <f>+A112+30</f>
        <v>#N/A</v>
      </c>
      <c r="B113" s="40" t="str">
        <f>IF('F1 Forecast Consultant'!B113="","",'F1 Forecast Consultant'!B113)</f>
        <v/>
      </c>
      <c r="C113" s="41" t="str">
        <f>IF('F1 Forecast Consultant'!C113="","",'F1 Forecast Consultant'!C113)</f>
        <v/>
      </c>
      <c r="D113" s="416" t="str">
        <f>IF('F1 Forecast Contractor'!D113="","",'F1 Forecast Contractor'!D113)</f>
        <v/>
      </c>
      <c r="E113" s="48">
        <f t="shared" si="6"/>
        <v>0</v>
      </c>
      <c r="F113" s="43"/>
    </row>
    <row r="114" spans="1:6" ht="20.100000000000001" customHeight="1">
      <c r="A114" s="549" t="e">
        <f>+A113+31</f>
        <v>#N/A</v>
      </c>
      <c r="B114" s="40" t="str">
        <f>IF('F1 Forecast Consultant'!B114="","",'F1 Forecast Consultant'!B114)</f>
        <v/>
      </c>
      <c r="C114" s="41" t="str">
        <f>IF('F1 Forecast Consultant'!C114="","",'F1 Forecast Consultant'!C114)</f>
        <v/>
      </c>
      <c r="D114" s="416" t="str">
        <f>IF('F1 Forecast Contractor'!D114="","",'F1 Forecast Contractor'!D114)</f>
        <v/>
      </c>
      <c r="E114" s="48">
        <f t="shared" si="6"/>
        <v>0</v>
      </c>
      <c r="F114" s="43"/>
    </row>
    <row r="115" spans="1:6" ht="20.100000000000001" customHeight="1">
      <c r="A115" s="549" t="e">
        <f>+A114+31</f>
        <v>#N/A</v>
      </c>
      <c r="B115" s="40" t="str">
        <f>IF('F1 Forecast Consultant'!B115="","",'F1 Forecast Consultant'!B115)</f>
        <v/>
      </c>
      <c r="C115" s="41" t="str">
        <f>IF('F1 Forecast Consultant'!C115="","",'F1 Forecast Consultant'!C115)</f>
        <v/>
      </c>
      <c r="D115" s="416" t="str">
        <f>IF('F1 Forecast Contractor'!D115="","",'F1 Forecast Contractor'!D115)</f>
        <v/>
      </c>
      <c r="E115" s="48">
        <f t="shared" si="6"/>
        <v>0</v>
      </c>
      <c r="F115" s="43"/>
    </row>
    <row r="116" spans="1:6" ht="20.100000000000001" customHeight="1">
      <c r="A116" s="549" t="e">
        <f>+A115+30</f>
        <v>#N/A</v>
      </c>
      <c r="B116" s="40" t="str">
        <f>IF('F1 Forecast Consultant'!B116="","",'F1 Forecast Consultant'!B116)</f>
        <v/>
      </c>
      <c r="C116" s="41" t="str">
        <f>IF('F1 Forecast Consultant'!C116="","",'F1 Forecast Consultant'!C116)</f>
        <v/>
      </c>
      <c r="D116" s="416" t="str">
        <f>IF('F1 Forecast Contractor'!D116="","",'F1 Forecast Contractor'!D116)</f>
        <v/>
      </c>
      <c r="E116" s="48">
        <f t="shared" si="6"/>
        <v>0</v>
      </c>
      <c r="F116" s="43"/>
    </row>
    <row r="117" spans="1:6" ht="20.100000000000001" customHeight="1">
      <c r="A117" s="549" t="e">
        <f>+A116+31</f>
        <v>#N/A</v>
      </c>
      <c r="B117" s="40" t="str">
        <f>IF('F1 Forecast Consultant'!B117="","",'F1 Forecast Consultant'!B117)</f>
        <v/>
      </c>
      <c r="C117" s="41" t="str">
        <f>IF('F1 Forecast Consultant'!C117="","",'F1 Forecast Consultant'!C117)</f>
        <v/>
      </c>
      <c r="D117" s="416" t="str">
        <f>IF('F1 Forecast Contractor'!D117="","",'F1 Forecast Contractor'!D117)</f>
        <v/>
      </c>
      <c r="E117" s="48">
        <f t="shared" si="6"/>
        <v>0</v>
      </c>
      <c r="F117" s="43"/>
    </row>
    <row r="118" spans="1:6" ht="20.100000000000001" customHeight="1">
      <c r="A118" s="549" t="e">
        <f>+A117+30</f>
        <v>#N/A</v>
      </c>
      <c r="B118" s="40" t="str">
        <f>IF('F1 Forecast Consultant'!B118="","",'F1 Forecast Consultant'!B118)</f>
        <v/>
      </c>
      <c r="C118" s="41" t="str">
        <f>IF('F1 Forecast Consultant'!C118="","",'F1 Forecast Consultant'!C118)</f>
        <v/>
      </c>
      <c r="D118" s="416" t="str">
        <f>IF('F1 Forecast Contractor'!D118="","",'F1 Forecast Contractor'!D118)</f>
        <v/>
      </c>
      <c r="E118" s="48">
        <f t="shared" si="6"/>
        <v>0</v>
      </c>
      <c r="F118" s="43"/>
    </row>
    <row r="119" spans="1:6" ht="20.100000000000001" customHeight="1">
      <c r="A119" s="549" t="e">
        <f>+A118+31</f>
        <v>#N/A</v>
      </c>
      <c r="B119" s="40" t="str">
        <f>IF('F1 Forecast Consultant'!B119="","",'F1 Forecast Consultant'!B119)</f>
        <v/>
      </c>
      <c r="C119" s="41" t="str">
        <f>IF('F1 Forecast Consultant'!C119="","",'F1 Forecast Consultant'!C119)</f>
        <v/>
      </c>
      <c r="D119" s="416" t="str">
        <f>IF('F1 Forecast Contractor'!D119="","",'F1 Forecast Contractor'!D119)</f>
        <v/>
      </c>
      <c r="E119" s="48">
        <f t="shared" si="6"/>
        <v>0</v>
      </c>
      <c r="F119" s="43"/>
    </row>
    <row r="120" spans="1:6" ht="20.100000000000001" customHeight="1">
      <c r="A120" s="549" t="e">
        <f>+A119+31</f>
        <v>#N/A</v>
      </c>
      <c r="B120" s="40" t="str">
        <f>IF('F1 Forecast Consultant'!B120="","",'F1 Forecast Consultant'!B120)</f>
        <v/>
      </c>
      <c r="C120" s="41" t="str">
        <f>IF('F1 Forecast Consultant'!C120="","",'F1 Forecast Consultant'!C120)</f>
        <v/>
      </c>
      <c r="D120" s="416" t="str">
        <f>IF('F1 Forecast Contractor'!D120="","",'F1 Forecast Contractor'!D120)</f>
        <v/>
      </c>
      <c r="E120" s="48">
        <f t="shared" si="6"/>
        <v>0</v>
      </c>
      <c r="F120" s="43"/>
    </row>
    <row r="121" spans="1:6" ht="20.100000000000001" customHeight="1">
      <c r="A121" s="549" t="e">
        <f>IF(ISNA(VLOOKUP(A120,DATA!$E$4:$E$13,1,FALSE))=TRUE,A120+28,A120+29)</f>
        <v>#N/A</v>
      </c>
      <c r="B121" s="569" t="str">
        <f>IF('F1 Forecast Consultant'!B121="","",'F1 Forecast Consultant'!B121)</f>
        <v/>
      </c>
      <c r="C121" s="44" t="str">
        <f>IF('F1 Forecast Consultant'!C121="","",'F1 Forecast Consultant'!C121)</f>
        <v/>
      </c>
      <c r="D121" s="580" t="str">
        <f>IF('F1 Forecast Contractor'!D121="","",'F1 Forecast Contractor'!D121)</f>
        <v/>
      </c>
      <c r="E121" s="48">
        <f>SUM(B121:D121)</f>
        <v>0</v>
      </c>
      <c r="F121" s="43"/>
    </row>
    <row r="122" spans="1:6" ht="20.100000000000001" customHeight="1" thickBot="1">
      <c r="A122" s="45" t="e">
        <f>VLOOKUP(A110,DATA!$Y$2:$AA$41,2,FALSE)</f>
        <v>#N/A</v>
      </c>
      <c r="B122" s="565">
        <f>'F1 Forecast Consultant'!B122</f>
        <v>0</v>
      </c>
      <c r="C122" s="566">
        <f>'F1 Forecast Consultant'!C122</f>
        <v>0</v>
      </c>
      <c r="D122" s="417">
        <f>'F1 Forecast Contractor'!D122</f>
        <v>0</v>
      </c>
      <c r="E122" s="413">
        <f>SUM(E110:E121)</f>
        <v>0</v>
      </c>
      <c r="F122" s="51">
        <f>SUM(F110:F121)</f>
        <v>0</v>
      </c>
    </row>
    <row r="123" spans="1:6" ht="20.100000000000001" customHeight="1" thickTop="1" thickBot="1">
      <c r="A123" s="52" t="s">
        <v>141</v>
      </c>
      <c r="B123" s="418">
        <f>'F1 Forecast Consultant'!B123</f>
        <v>0</v>
      </c>
      <c r="C123" s="418">
        <f>'F1 Forecast Consultant'!C123</f>
        <v>0</v>
      </c>
      <c r="D123" s="419">
        <f>'F1 Forecast Contractor'!D124</f>
        <v>0</v>
      </c>
      <c r="E123" s="414">
        <f>E83+E96+E109+E122</f>
        <v>0</v>
      </c>
      <c r="F123" s="54">
        <f>F83+F96+F109+F122</f>
        <v>0</v>
      </c>
    </row>
    <row r="124" spans="1:6" ht="20.100000000000001" customHeight="1">
      <c r="A124" s="55" t="s">
        <v>142</v>
      </c>
      <c r="B124" s="55" t="s">
        <v>143</v>
      </c>
    </row>
  </sheetData>
  <mergeCells count="34">
    <mergeCell ref="B75:F75"/>
    <mergeCell ref="B77:D77"/>
    <mergeCell ref="E78:F78"/>
    <mergeCell ref="A80:A82"/>
    <mergeCell ref="B80:E80"/>
    <mergeCell ref="B81:E81"/>
    <mergeCell ref="B78:C78"/>
    <mergeCell ref="A68:F70"/>
    <mergeCell ref="A72:A73"/>
    <mergeCell ref="B72:F73"/>
    <mergeCell ref="B74:C74"/>
    <mergeCell ref="E74:F74"/>
    <mergeCell ref="B64:C65"/>
    <mergeCell ref="D64:E64"/>
    <mergeCell ref="D65:E65"/>
    <mergeCell ref="B66:B67"/>
    <mergeCell ref="C66:C67"/>
    <mergeCell ref="E15:F15"/>
    <mergeCell ref="A17:A19"/>
    <mergeCell ref="B17:E17"/>
    <mergeCell ref="B18:E18"/>
    <mergeCell ref="A9:A10"/>
    <mergeCell ref="B9:F10"/>
    <mergeCell ref="B11:C11"/>
    <mergeCell ref="E11:F11"/>
    <mergeCell ref="B12:F12"/>
    <mergeCell ref="B14:D14"/>
    <mergeCell ref="B15:C15"/>
    <mergeCell ref="A5:F7"/>
    <mergeCell ref="B1:C2"/>
    <mergeCell ref="D1:E1"/>
    <mergeCell ref="D2:E2"/>
    <mergeCell ref="B3:B4"/>
    <mergeCell ref="C3:C4"/>
  </mergeCells>
  <pageMargins left="0" right="0" top="0.35433070866141736" bottom="0" header="0.11811023622047245" footer="0.11811023622047245"/>
  <pageSetup paperSize="9" scale="65" fitToHeight="2" orientation="portrait" blackAndWhite="1" r:id="rId1"/>
  <headerFooter alignWithMargins="0">
    <oddHeader>&amp;L&amp;"Calibri"&amp;10&amp;K000000 Sensitivity - General&amp;1#_x000D_</oddHeader>
  </headerFooter>
  <colBreaks count="1" manualBreakCount="1">
    <brk id="6" max="58"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tabColor rgb="FF0070C0"/>
    <pageSetUpPr fitToPage="1"/>
  </sheetPr>
  <dimension ref="A1:F124"/>
  <sheetViews>
    <sheetView zoomScale="90" zoomScaleNormal="90" zoomScaleSheetLayoutView="75" workbookViewId="0">
      <selection sqref="A1:E1"/>
    </sheetView>
  </sheetViews>
  <sheetFormatPr defaultRowHeight="20.100000000000001" customHeight="1"/>
  <cols>
    <col min="1" max="1" width="30.6640625" style="16" customWidth="1"/>
    <col min="2" max="2" width="27.109375" style="16" customWidth="1"/>
    <col min="3" max="3" width="20" style="16" customWidth="1"/>
    <col min="4" max="4" width="27.6640625" style="16" customWidth="1"/>
    <col min="5" max="5" width="19.88671875" style="16" customWidth="1"/>
    <col min="6" max="6" width="28.44140625" style="16" customWidth="1"/>
    <col min="7" max="256" width="9.109375" style="16"/>
    <col min="257" max="257" width="30.6640625" style="16" customWidth="1"/>
    <col min="258" max="258" width="27.109375" style="16" customWidth="1"/>
    <col min="259" max="259" width="20" style="16" customWidth="1"/>
    <col min="260" max="260" width="27.6640625" style="16" customWidth="1"/>
    <col min="261" max="261" width="19.88671875" style="16" customWidth="1"/>
    <col min="262" max="262" width="28.44140625" style="16" customWidth="1"/>
    <col min="263" max="512" width="9.109375" style="16"/>
    <col min="513" max="513" width="30.6640625" style="16" customWidth="1"/>
    <col min="514" max="514" width="27.109375" style="16" customWidth="1"/>
    <col min="515" max="515" width="20" style="16" customWidth="1"/>
    <col min="516" max="516" width="27.6640625" style="16" customWidth="1"/>
    <col min="517" max="517" width="19.88671875" style="16" customWidth="1"/>
    <col min="518" max="518" width="28.44140625" style="16" customWidth="1"/>
    <col min="519" max="768" width="9.109375" style="16"/>
    <col min="769" max="769" width="30.6640625" style="16" customWidth="1"/>
    <col min="770" max="770" width="27.109375" style="16" customWidth="1"/>
    <col min="771" max="771" width="20" style="16" customWidth="1"/>
    <col min="772" max="772" width="27.6640625" style="16" customWidth="1"/>
    <col min="773" max="773" width="19.88671875" style="16" customWidth="1"/>
    <col min="774" max="774" width="28.44140625" style="16" customWidth="1"/>
    <col min="775" max="1024" width="9.109375" style="16"/>
    <col min="1025" max="1025" width="30.6640625" style="16" customWidth="1"/>
    <col min="1026" max="1026" width="27.109375" style="16" customWidth="1"/>
    <col min="1027" max="1027" width="20" style="16" customWidth="1"/>
    <col min="1028" max="1028" width="27.6640625" style="16" customWidth="1"/>
    <col min="1029" max="1029" width="19.88671875" style="16" customWidth="1"/>
    <col min="1030" max="1030" width="28.44140625" style="16" customWidth="1"/>
    <col min="1031" max="1280" width="9.109375" style="16"/>
    <col min="1281" max="1281" width="30.6640625" style="16" customWidth="1"/>
    <col min="1282" max="1282" width="27.109375" style="16" customWidth="1"/>
    <col min="1283" max="1283" width="20" style="16" customWidth="1"/>
    <col min="1284" max="1284" width="27.6640625" style="16" customWidth="1"/>
    <col min="1285" max="1285" width="19.88671875" style="16" customWidth="1"/>
    <col min="1286" max="1286" width="28.44140625" style="16" customWidth="1"/>
    <col min="1287" max="1536" width="9.109375" style="16"/>
    <col min="1537" max="1537" width="30.6640625" style="16" customWidth="1"/>
    <col min="1538" max="1538" width="27.109375" style="16" customWidth="1"/>
    <col min="1539" max="1539" width="20" style="16" customWidth="1"/>
    <col min="1540" max="1540" width="27.6640625" style="16" customWidth="1"/>
    <col min="1541" max="1541" width="19.88671875" style="16" customWidth="1"/>
    <col min="1542" max="1542" width="28.44140625" style="16" customWidth="1"/>
    <col min="1543" max="1792" width="9.109375" style="16"/>
    <col min="1793" max="1793" width="30.6640625" style="16" customWidth="1"/>
    <col min="1794" max="1794" width="27.109375" style="16" customWidth="1"/>
    <col min="1795" max="1795" width="20" style="16" customWidth="1"/>
    <col min="1796" max="1796" width="27.6640625" style="16" customWidth="1"/>
    <col min="1797" max="1797" width="19.88671875" style="16" customWidth="1"/>
    <col min="1798" max="1798" width="28.44140625" style="16" customWidth="1"/>
    <col min="1799" max="2048" width="9.109375" style="16"/>
    <col min="2049" max="2049" width="30.6640625" style="16" customWidth="1"/>
    <col min="2050" max="2050" width="27.109375" style="16" customWidth="1"/>
    <col min="2051" max="2051" width="20" style="16" customWidth="1"/>
    <col min="2052" max="2052" width="27.6640625" style="16" customWidth="1"/>
    <col min="2053" max="2053" width="19.88671875" style="16" customWidth="1"/>
    <col min="2054" max="2054" width="28.44140625" style="16" customWidth="1"/>
    <col min="2055" max="2304" width="9.109375" style="16"/>
    <col min="2305" max="2305" width="30.6640625" style="16" customWidth="1"/>
    <col min="2306" max="2306" width="27.109375" style="16" customWidth="1"/>
    <col min="2307" max="2307" width="20" style="16" customWidth="1"/>
    <col min="2308" max="2308" width="27.6640625" style="16" customWidth="1"/>
    <col min="2309" max="2309" width="19.88671875" style="16" customWidth="1"/>
    <col min="2310" max="2310" width="28.44140625" style="16" customWidth="1"/>
    <col min="2311" max="2560" width="9.109375" style="16"/>
    <col min="2561" max="2561" width="30.6640625" style="16" customWidth="1"/>
    <col min="2562" max="2562" width="27.109375" style="16" customWidth="1"/>
    <col min="2563" max="2563" width="20" style="16" customWidth="1"/>
    <col min="2564" max="2564" width="27.6640625" style="16" customWidth="1"/>
    <col min="2565" max="2565" width="19.88671875" style="16" customWidth="1"/>
    <col min="2566" max="2566" width="28.44140625" style="16" customWidth="1"/>
    <col min="2567" max="2816" width="9.109375" style="16"/>
    <col min="2817" max="2817" width="30.6640625" style="16" customWidth="1"/>
    <col min="2818" max="2818" width="27.109375" style="16" customWidth="1"/>
    <col min="2819" max="2819" width="20" style="16" customWidth="1"/>
    <col min="2820" max="2820" width="27.6640625" style="16" customWidth="1"/>
    <col min="2821" max="2821" width="19.88671875" style="16" customWidth="1"/>
    <col min="2822" max="2822" width="28.44140625" style="16" customWidth="1"/>
    <col min="2823" max="3072" width="9.109375" style="16"/>
    <col min="3073" max="3073" width="30.6640625" style="16" customWidth="1"/>
    <col min="3074" max="3074" width="27.109375" style="16" customWidth="1"/>
    <col min="3075" max="3075" width="20" style="16" customWidth="1"/>
    <col min="3076" max="3076" width="27.6640625" style="16" customWidth="1"/>
    <col min="3077" max="3077" width="19.88671875" style="16" customWidth="1"/>
    <col min="3078" max="3078" width="28.44140625" style="16" customWidth="1"/>
    <col min="3079" max="3328" width="9.109375" style="16"/>
    <col min="3329" max="3329" width="30.6640625" style="16" customWidth="1"/>
    <col min="3330" max="3330" width="27.109375" style="16" customWidth="1"/>
    <col min="3331" max="3331" width="20" style="16" customWidth="1"/>
    <col min="3332" max="3332" width="27.6640625" style="16" customWidth="1"/>
    <col min="3333" max="3333" width="19.88671875" style="16" customWidth="1"/>
    <col min="3334" max="3334" width="28.44140625" style="16" customWidth="1"/>
    <col min="3335" max="3584" width="9.109375" style="16"/>
    <col min="3585" max="3585" width="30.6640625" style="16" customWidth="1"/>
    <col min="3586" max="3586" width="27.109375" style="16" customWidth="1"/>
    <col min="3587" max="3587" width="20" style="16" customWidth="1"/>
    <col min="3588" max="3588" width="27.6640625" style="16" customWidth="1"/>
    <col min="3589" max="3589" width="19.88671875" style="16" customWidth="1"/>
    <col min="3590" max="3590" width="28.44140625" style="16" customWidth="1"/>
    <col min="3591" max="3840" width="9.109375" style="16"/>
    <col min="3841" max="3841" width="30.6640625" style="16" customWidth="1"/>
    <col min="3842" max="3842" width="27.109375" style="16" customWidth="1"/>
    <col min="3843" max="3843" width="20" style="16" customWidth="1"/>
    <col min="3844" max="3844" width="27.6640625" style="16" customWidth="1"/>
    <col min="3845" max="3845" width="19.88671875" style="16" customWidth="1"/>
    <col min="3846" max="3846" width="28.44140625" style="16" customWidth="1"/>
    <col min="3847" max="4096" width="9.109375" style="16"/>
    <col min="4097" max="4097" width="30.6640625" style="16" customWidth="1"/>
    <col min="4098" max="4098" width="27.109375" style="16" customWidth="1"/>
    <col min="4099" max="4099" width="20" style="16" customWidth="1"/>
    <col min="4100" max="4100" width="27.6640625" style="16" customWidth="1"/>
    <col min="4101" max="4101" width="19.88671875" style="16" customWidth="1"/>
    <col min="4102" max="4102" width="28.44140625" style="16" customWidth="1"/>
    <col min="4103" max="4352" width="9.109375" style="16"/>
    <col min="4353" max="4353" width="30.6640625" style="16" customWidth="1"/>
    <col min="4354" max="4354" width="27.109375" style="16" customWidth="1"/>
    <col min="4355" max="4355" width="20" style="16" customWidth="1"/>
    <col min="4356" max="4356" width="27.6640625" style="16" customWidth="1"/>
    <col min="4357" max="4357" width="19.88671875" style="16" customWidth="1"/>
    <col min="4358" max="4358" width="28.44140625" style="16" customWidth="1"/>
    <col min="4359" max="4608" width="9.109375" style="16"/>
    <col min="4609" max="4609" width="30.6640625" style="16" customWidth="1"/>
    <col min="4610" max="4610" width="27.109375" style="16" customWidth="1"/>
    <col min="4611" max="4611" width="20" style="16" customWidth="1"/>
    <col min="4612" max="4612" width="27.6640625" style="16" customWidth="1"/>
    <col min="4613" max="4613" width="19.88671875" style="16" customWidth="1"/>
    <col min="4614" max="4614" width="28.44140625" style="16" customWidth="1"/>
    <col min="4615" max="4864" width="9.109375" style="16"/>
    <col min="4865" max="4865" width="30.6640625" style="16" customWidth="1"/>
    <col min="4866" max="4866" width="27.109375" style="16" customWidth="1"/>
    <col min="4867" max="4867" width="20" style="16" customWidth="1"/>
    <col min="4868" max="4868" width="27.6640625" style="16" customWidth="1"/>
    <col min="4869" max="4869" width="19.88671875" style="16" customWidth="1"/>
    <col min="4870" max="4870" width="28.44140625" style="16" customWidth="1"/>
    <col min="4871" max="5120" width="9.109375" style="16"/>
    <col min="5121" max="5121" width="30.6640625" style="16" customWidth="1"/>
    <col min="5122" max="5122" width="27.109375" style="16" customWidth="1"/>
    <col min="5123" max="5123" width="20" style="16" customWidth="1"/>
    <col min="5124" max="5124" width="27.6640625" style="16" customWidth="1"/>
    <col min="5125" max="5125" width="19.88671875" style="16" customWidth="1"/>
    <col min="5126" max="5126" width="28.44140625" style="16" customWidth="1"/>
    <col min="5127" max="5376" width="9.109375" style="16"/>
    <col min="5377" max="5377" width="30.6640625" style="16" customWidth="1"/>
    <col min="5378" max="5378" width="27.109375" style="16" customWidth="1"/>
    <col min="5379" max="5379" width="20" style="16" customWidth="1"/>
    <col min="5380" max="5380" width="27.6640625" style="16" customWidth="1"/>
    <col min="5381" max="5381" width="19.88671875" style="16" customWidth="1"/>
    <col min="5382" max="5382" width="28.44140625" style="16" customWidth="1"/>
    <col min="5383" max="5632" width="9.109375" style="16"/>
    <col min="5633" max="5633" width="30.6640625" style="16" customWidth="1"/>
    <col min="5634" max="5634" width="27.109375" style="16" customWidth="1"/>
    <col min="5635" max="5635" width="20" style="16" customWidth="1"/>
    <col min="5636" max="5636" width="27.6640625" style="16" customWidth="1"/>
    <col min="5637" max="5637" width="19.88671875" style="16" customWidth="1"/>
    <col min="5638" max="5638" width="28.44140625" style="16" customWidth="1"/>
    <col min="5639" max="5888" width="9.109375" style="16"/>
    <col min="5889" max="5889" width="30.6640625" style="16" customWidth="1"/>
    <col min="5890" max="5890" width="27.109375" style="16" customWidth="1"/>
    <col min="5891" max="5891" width="20" style="16" customWidth="1"/>
    <col min="5892" max="5892" width="27.6640625" style="16" customWidth="1"/>
    <col min="5893" max="5893" width="19.88671875" style="16" customWidth="1"/>
    <col min="5894" max="5894" width="28.44140625" style="16" customWidth="1"/>
    <col min="5895" max="6144" width="9.109375" style="16"/>
    <col min="6145" max="6145" width="30.6640625" style="16" customWidth="1"/>
    <col min="6146" max="6146" width="27.109375" style="16" customWidth="1"/>
    <col min="6147" max="6147" width="20" style="16" customWidth="1"/>
    <col min="6148" max="6148" width="27.6640625" style="16" customWidth="1"/>
    <col min="6149" max="6149" width="19.88671875" style="16" customWidth="1"/>
    <col min="6150" max="6150" width="28.44140625" style="16" customWidth="1"/>
    <col min="6151" max="6400" width="9.109375" style="16"/>
    <col min="6401" max="6401" width="30.6640625" style="16" customWidth="1"/>
    <col min="6402" max="6402" width="27.109375" style="16" customWidth="1"/>
    <col min="6403" max="6403" width="20" style="16" customWidth="1"/>
    <col min="6404" max="6404" width="27.6640625" style="16" customWidth="1"/>
    <col min="6405" max="6405" width="19.88671875" style="16" customWidth="1"/>
    <col min="6406" max="6406" width="28.44140625" style="16" customWidth="1"/>
    <col min="6407" max="6656" width="9.109375" style="16"/>
    <col min="6657" max="6657" width="30.6640625" style="16" customWidth="1"/>
    <col min="6658" max="6658" width="27.109375" style="16" customWidth="1"/>
    <col min="6659" max="6659" width="20" style="16" customWidth="1"/>
    <col min="6660" max="6660" width="27.6640625" style="16" customWidth="1"/>
    <col min="6661" max="6661" width="19.88671875" style="16" customWidth="1"/>
    <col min="6662" max="6662" width="28.44140625" style="16" customWidth="1"/>
    <col min="6663" max="6912" width="9.109375" style="16"/>
    <col min="6913" max="6913" width="30.6640625" style="16" customWidth="1"/>
    <col min="6914" max="6914" width="27.109375" style="16" customWidth="1"/>
    <col min="6915" max="6915" width="20" style="16" customWidth="1"/>
    <col min="6916" max="6916" width="27.6640625" style="16" customWidth="1"/>
    <col min="6917" max="6917" width="19.88671875" style="16" customWidth="1"/>
    <col min="6918" max="6918" width="28.44140625" style="16" customWidth="1"/>
    <col min="6919" max="7168" width="9.109375" style="16"/>
    <col min="7169" max="7169" width="30.6640625" style="16" customWidth="1"/>
    <col min="7170" max="7170" width="27.109375" style="16" customWidth="1"/>
    <col min="7171" max="7171" width="20" style="16" customWidth="1"/>
    <col min="7172" max="7172" width="27.6640625" style="16" customWidth="1"/>
    <col min="7173" max="7173" width="19.88671875" style="16" customWidth="1"/>
    <col min="7174" max="7174" width="28.44140625" style="16" customWidth="1"/>
    <col min="7175" max="7424" width="9.109375" style="16"/>
    <col min="7425" max="7425" width="30.6640625" style="16" customWidth="1"/>
    <col min="7426" max="7426" width="27.109375" style="16" customWidth="1"/>
    <col min="7427" max="7427" width="20" style="16" customWidth="1"/>
    <col min="7428" max="7428" width="27.6640625" style="16" customWidth="1"/>
    <col min="7429" max="7429" width="19.88671875" style="16" customWidth="1"/>
    <col min="7430" max="7430" width="28.44140625" style="16" customWidth="1"/>
    <col min="7431" max="7680" width="9.109375" style="16"/>
    <col min="7681" max="7681" width="30.6640625" style="16" customWidth="1"/>
    <col min="7682" max="7682" width="27.109375" style="16" customWidth="1"/>
    <col min="7683" max="7683" width="20" style="16" customWidth="1"/>
    <col min="7684" max="7684" width="27.6640625" style="16" customWidth="1"/>
    <col min="7685" max="7685" width="19.88671875" style="16" customWidth="1"/>
    <col min="7686" max="7686" width="28.44140625" style="16" customWidth="1"/>
    <col min="7687" max="7936" width="9.109375" style="16"/>
    <col min="7937" max="7937" width="30.6640625" style="16" customWidth="1"/>
    <col min="7938" max="7938" width="27.109375" style="16" customWidth="1"/>
    <col min="7939" max="7939" width="20" style="16" customWidth="1"/>
    <col min="7940" max="7940" width="27.6640625" style="16" customWidth="1"/>
    <col min="7941" max="7941" width="19.88671875" style="16" customWidth="1"/>
    <col min="7942" max="7942" width="28.44140625" style="16" customWidth="1"/>
    <col min="7943" max="8192" width="9.109375" style="16"/>
    <col min="8193" max="8193" width="30.6640625" style="16" customWidth="1"/>
    <col min="8194" max="8194" width="27.109375" style="16" customWidth="1"/>
    <col min="8195" max="8195" width="20" style="16" customWidth="1"/>
    <col min="8196" max="8196" width="27.6640625" style="16" customWidth="1"/>
    <col min="8197" max="8197" width="19.88671875" style="16" customWidth="1"/>
    <col min="8198" max="8198" width="28.44140625" style="16" customWidth="1"/>
    <col min="8199" max="8448" width="9.109375" style="16"/>
    <col min="8449" max="8449" width="30.6640625" style="16" customWidth="1"/>
    <col min="8450" max="8450" width="27.109375" style="16" customWidth="1"/>
    <col min="8451" max="8451" width="20" style="16" customWidth="1"/>
    <col min="8452" max="8452" width="27.6640625" style="16" customWidth="1"/>
    <col min="8453" max="8453" width="19.88671875" style="16" customWidth="1"/>
    <col min="8454" max="8454" width="28.44140625" style="16" customWidth="1"/>
    <col min="8455" max="8704" width="9.109375" style="16"/>
    <col min="8705" max="8705" width="30.6640625" style="16" customWidth="1"/>
    <col min="8706" max="8706" width="27.109375" style="16" customWidth="1"/>
    <col min="8707" max="8707" width="20" style="16" customWidth="1"/>
    <col min="8708" max="8708" width="27.6640625" style="16" customWidth="1"/>
    <col min="8709" max="8709" width="19.88671875" style="16" customWidth="1"/>
    <col min="8710" max="8710" width="28.44140625" style="16" customWidth="1"/>
    <col min="8711" max="8960" width="9.109375" style="16"/>
    <col min="8961" max="8961" width="30.6640625" style="16" customWidth="1"/>
    <col min="8962" max="8962" width="27.109375" style="16" customWidth="1"/>
    <col min="8963" max="8963" width="20" style="16" customWidth="1"/>
    <col min="8964" max="8964" width="27.6640625" style="16" customWidth="1"/>
    <col min="8965" max="8965" width="19.88671875" style="16" customWidth="1"/>
    <col min="8966" max="8966" width="28.44140625" style="16" customWidth="1"/>
    <col min="8967" max="9216" width="9.109375" style="16"/>
    <col min="9217" max="9217" width="30.6640625" style="16" customWidth="1"/>
    <col min="9218" max="9218" width="27.109375" style="16" customWidth="1"/>
    <col min="9219" max="9219" width="20" style="16" customWidth="1"/>
    <col min="9220" max="9220" width="27.6640625" style="16" customWidth="1"/>
    <col min="9221" max="9221" width="19.88671875" style="16" customWidth="1"/>
    <col min="9222" max="9222" width="28.44140625" style="16" customWidth="1"/>
    <col min="9223" max="9472" width="9.109375" style="16"/>
    <col min="9473" max="9473" width="30.6640625" style="16" customWidth="1"/>
    <col min="9474" max="9474" width="27.109375" style="16" customWidth="1"/>
    <col min="9475" max="9475" width="20" style="16" customWidth="1"/>
    <col min="9476" max="9476" width="27.6640625" style="16" customWidth="1"/>
    <col min="9477" max="9477" width="19.88671875" style="16" customWidth="1"/>
    <col min="9478" max="9478" width="28.44140625" style="16" customWidth="1"/>
    <col min="9479" max="9728" width="9.109375" style="16"/>
    <col min="9729" max="9729" width="30.6640625" style="16" customWidth="1"/>
    <col min="9730" max="9730" width="27.109375" style="16" customWidth="1"/>
    <col min="9731" max="9731" width="20" style="16" customWidth="1"/>
    <col min="9732" max="9732" width="27.6640625" style="16" customWidth="1"/>
    <col min="9733" max="9733" width="19.88671875" style="16" customWidth="1"/>
    <col min="9734" max="9734" width="28.44140625" style="16" customWidth="1"/>
    <col min="9735" max="9984" width="9.109375" style="16"/>
    <col min="9985" max="9985" width="30.6640625" style="16" customWidth="1"/>
    <col min="9986" max="9986" width="27.109375" style="16" customWidth="1"/>
    <col min="9987" max="9987" width="20" style="16" customWidth="1"/>
    <col min="9988" max="9988" width="27.6640625" style="16" customWidth="1"/>
    <col min="9989" max="9989" width="19.88671875" style="16" customWidth="1"/>
    <col min="9990" max="9990" width="28.44140625" style="16" customWidth="1"/>
    <col min="9991" max="10240" width="9.109375" style="16"/>
    <col min="10241" max="10241" width="30.6640625" style="16" customWidth="1"/>
    <col min="10242" max="10242" width="27.109375" style="16" customWidth="1"/>
    <col min="10243" max="10243" width="20" style="16" customWidth="1"/>
    <col min="10244" max="10244" width="27.6640625" style="16" customWidth="1"/>
    <col min="10245" max="10245" width="19.88671875" style="16" customWidth="1"/>
    <col min="10246" max="10246" width="28.44140625" style="16" customWidth="1"/>
    <col min="10247" max="10496" width="9.109375" style="16"/>
    <col min="10497" max="10497" width="30.6640625" style="16" customWidth="1"/>
    <col min="10498" max="10498" width="27.109375" style="16" customWidth="1"/>
    <col min="10499" max="10499" width="20" style="16" customWidth="1"/>
    <col min="10500" max="10500" width="27.6640625" style="16" customWidth="1"/>
    <col min="10501" max="10501" width="19.88671875" style="16" customWidth="1"/>
    <col min="10502" max="10502" width="28.44140625" style="16" customWidth="1"/>
    <col min="10503" max="10752" width="9.109375" style="16"/>
    <col min="10753" max="10753" width="30.6640625" style="16" customWidth="1"/>
    <col min="10754" max="10754" width="27.109375" style="16" customWidth="1"/>
    <col min="10755" max="10755" width="20" style="16" customWidth="1"/>
    <col min="10756" max="10756" width="27.6640625" style="16" customWidth="1"/>
    <col min="10757" max="10757" width="19.88671875" style="16" customWidth="1"/>
    <col min="10758" max="10758" width="28.44140625" style="16" customWidth="1"/>
    <col min="10759" max="11008" width="9.109375" style="16"/>
    <col min="11009" max="11009" width="30.6640625" style="16" customWidth="1"/>
    <col min="11010" max="11010" width="27.109375" style="16" customWidth="1"/>
    <col min="11011" max="11011" width="20" style="16" customWidth="1"/>
    <col min="11012" max="11012" width="27.6640625" style="16" customWidth="1"/>
    <col min="11013" max="11013" width="19.88671875" style="16" customWidth="1"/>
    <col min="11014" max="11014" width="28.44140625" style="16" customWidth="1"/>
    <col min="11015" max="11264" width="9.109375" style="16"/>
    <col min="11265" max="11265" width="30.6640625" style="16" customWidth="1"/>
    <col min="11266" max="11266" width="27.109375" style="16" customWidth="1"/>
    <col min="11267" max="11267" width="20" style="16" customWidth="1"/>
    <col min="11268" max="11268" width="27.6640625" style="16" customWidth="1"/>
    <col min="11269" max="11269" width="19.88671875" style="16" customWidth="1"/>
    <col min="11270" max="11270" width="28.44140625" style="16" customWidth="1"/>
    <col min="11271" max="11520" width="9.109375" style="16"/>
    <col min="11521" max="11521" width="30.6640625" style="16" customWidth="1"/>
    <col min="11522" max="11522" width="27.109375" style="16" customWidth="1"/>
    <col min="11523" max="11523" width="20" style="16" customWidth="1"/>
    <col min="11524" max="11524" width="27.6640625" style="16" customWidth="1"/>
    <col min="11525" max="11525" width="19.88671875" style="16" customWidth="1"/>
    <col min="11526" max="11526" width="28.44140625" style="16" customWidth="1"/>
    <col min="11527" max="11776" width="9.109375" style="16"/>
    <col min="11777" max="11777" width="30.6640625" style="16" customWidth="1"/>
    <col min="11778" max="11778" width="27.109375" style="16" customWidth="1"/>
    <col min="11779" max="11779" width="20" style="16" customWidth="1"/>
    <col min="11780" max="11780" width="27.6640625" style="16" customWidth="1"/>
    <col min="11781" max="11781" width="19.88671875" style="16" customWidth="1"/>
    <col min="11782" max="11782" width="28.44140625" style="16" customWidth="1"/>
    <col min="11783" max="12032" width="9.109375" style="16"/>
    <col min="12033" max="12033" width="30.6640625" style="16" customWidth="1"/>
    <col min="12034" max="12034" width="27.109375" style="16" customWidth="1"/>
    <col min="12035" max="12035" width="20" style="16" customWidth="1"/>
    <col min="12036" max="12036" width="27.6640625" style="16" customWidth="1"/>
    <col min="12037" max="12037" width="19.88671875" style="16" customWidth="1"/>
    <col min="12038" max="12038" width="28.44140625" style="16" customWidth="1"/>
    <col min="12039" max="12288" width="9.109375" style="16"/>
    <col min="12289" max="12289" width="30.6640625" style="16" customWidth="1"/>
    <col min="12290" max="12290" width="27.109375" style="16" customWidth="1"/>
    <col min="12291" max="12291" width="20" style="16" customWidth="1"/>
    <col min="12292" max="12292" width="27.6640625" style="16" customWidth="1"/>
    <col min="12293" max="12293" width="19.88671875" style="16" customWidth="1"/>
    <col min="12294" max="12294" width="28.44140625" style="16" customWidth="1"/>
    <col min="12295" max="12544" width="9.109375" style="16"/>
    <col min="12545" max="12545" width="30.6640625" style="16" customWidth="1"/>
    <col min="12546" max="12546" width="27.109375" style="16" customWidth="1"/>
    <col min="12547" max="12547" width="20" style="16" customWidth="1"/>
    <col min="12548" max="12548" width="27.6640625" style="16" customWidth="1"/>
    <col min="12549" max="12549" width="19.88671875" style="16" customWidth="1"/>
    <col min="12550" max="12550" width="28.44140625" style="16" customWidth="1"/>
    <col min="12551" max="12800" width="9.109375" style="16"/>
    <col min="12801" max="12801" width="30.6640625" style="16" customWidth="1"/>
    <col min="12802" max="12802" width="27.109375" style="16" customWidth="1"/>
    <col min="12803" max="12803" width="20" style="16" customWidth="1"/>
    <col min="12804" max="12804" width="27.6640625" style="16" customWidth="1"/>
    <col min="12805" max="12805" width="19.88671875" style="16" customWidth="1"/>
    <col min="12806" max="12806" width="28.44140625" style="16" customWidth="1"/>
    <col min="12807" max="13056" width="9.109375" style="16"/>
    <col min="13057" max="13057" width="30.6640625" style="16" customWidth="1"/>
    <col min="13058" max="13058" width="27.109375" style="16" customWidth="1"/>
    <col min="13059" max="13059" width="20" style="16" customWidth="1"/>
    <col min="13060" max="13060" width="27.6640625" style="16" customWidth="1"/>
    <col min="13061" max="13061" width="19.88671875" style="16" customWidth="1"/>
    <col min="13062" max="13062" width="28.44140625" style="16" customWidth="1"/>
    <col min="13063" max="13312" width="9.109375" style="16"/>
    <col min="13313" max="13313" width="30.6640625" style="16" customWidth="1"/>
    <col min="13314" max="13314" width="27.109375" style="16" customWidth="1"/>
    <col min="13315" max="13315" width="20" style="16" customWidth="1"/>
    <col min="13316" max="13316" width="27.6640625" style="16" customWidth="1"/>
    <col min="13317" max="13317" width="19.88671875" style="16" customWidth="1"/>
    <col min="13318" max="13318" width="28.44140625" style="16" customWidth="1"/>
    <col min="13319" max="13568" width="9.109375" style="16"/>
    <col min="13569" max="13569" width="30.6640625" style="16" customWidth="1"/>
    <col min="13570" max="13570" width="27.109375" style="16" customWidth="1"/>
    <col min="13571" max="13571" width="20" style="16" customWidth="1"/>
    <col min="13572" max="13572" width="27.6640625" style="16" customWidth="1"/>
    <col min="13573" max="13573" width="19.88671875" style="16" customWidth="1"/>
    <col min="13574" max="13574" width="28.44140625" style="16" customWidth="1"/>
    <col min="13575" max="13824" width="9.109375" style="16"/>
    <col min="13825" max="13825" width="30.6640625" style="16" customWidth="1"/>
    <col min="13826" max="13826" width="27.109375" style="16" customWidth="1"/>
    <col min="13827" max="13827" width="20" style="16" customWidth="1"/>
    <col min="13828" max="13828" width="27.6640625" style="16" customWidth="1"/>
    <col min="13829" max="13829" width="19.88671875" style="16" customWidth="1"/>
    <col min="13830" max="13830" width="28.44140625" style="16" customWidth="1"/>
    <col min="13831" max="14080" width="9.109375" style="16"/>
    <col min="14081" max="14081" width="30.6640625" style="16" customWidth="1"/>
    <col min="14082" max="14082" width="27.109375" style="16" customWidth="1"/>
    <col min="14083" max="14083" width="20" style="16" customWidth="1"/>
    <col min="14084" max="14084" width="27.6640625" style="16" customWidth="1"/>
    <col min="14085" max="14085" width="19.88671875" style="16" customWidth="1"/>
    <col min="14086" max="14086" width="28.44140625" style="16" customWidth="1"/>
    <col min="14087" max="14336" width="9.109375" style="16"/>
    <col min="14337" max="14337" width="30.6640625" style="16" customWidth="1"/>
    <col min="14338" max="14338" width="27.109375" style="16" customWidth="1"/>
    <col min="14339" max="14339" width="20" style="16" customWidth="1"/>
    <col min="14340" max="14340" width="27.6640625" style="16" customWidth="1"/>
    <col min="14341" max="14341" width="19.88671875" style="16" customWidth="1"/>
    <col min="14342" max="14342" width="28.44140625" style="16" customWidth="1"/>
    <col min="14343" max="14592" width="9.109375" style="16"/>
    <col min="14593" max="14593" width="30.6640625" style="16" customWidth="1"/>
    <col min="14594" max="14594" width="27.109375" style="16" customWidth="1"/>
    <col min="14595" max="14595" width="20" style="16" customWidth="1"/>
    <col min="14596" max="14596" width="27.6640625" style="16" customWidth="1"/>
    <col min="14597" max="14597" width="19.88671875" style="16" customWidth="1"/>
    <col min="14598" max="14598" width="28.44140625" style="16" customWidth="1"/>
    <col min="14599" max="14848" width="9.109375" style="16"/>
    <col min="14849" max="14849" width="30.6640625" style="16" customWidth="1"/>
    <col min="14850" max="14850" width="27.109375" style="16" customWidth="1"/>
    <col min="14851" max="14851" width="20" style="16" customWidth="1"/>
    <col min="14852" max="14852" width="27.6640625" style="16" customWidth="1"/>
    <col min="14853" max="14853" width="19.88671875" style="16" customWidth="1"/>
    <col min="14854" max="14854" width="28.44140625" style="16" customWidth="1"/>
    <col min="14855" max="15104" width="9.109375" style="16"/>
    <col min="15105" max="15105" width="30.6640625" style="16" customWidth="1"/>
    <col min="15106" max="15106" width="27.109375" style="16" customWidth="1"/>
    <col min="15107" max="15107" width="20" style="16" customWidth="1"/>
    <col min="15108" max="15108" width="27.6640625" style="16" customWidth="1"/>
    <col min="15109" max="15109" width="19.88671875" style="16" customWidth="1"/>
    <col min="15110" max="15110" width="28.44140625" style="16" customWidth="1"/>
    <col min="15111" max="15360" width="9.109375" style="16"/>
    <col min="15361" max="15361" width="30.6640625" style="16" customWidth="1"/>
    <col min="15362" max="15362" width="27.109375" style="16" customWidth="1"/>
    <col min="15363" max="15363" width="20" style="16" customWidth="1"/>
    <col min="15364" max="15364" width="27.6640625" style="16" customWidth="1"/>
    <col min="15365" max="15365" width="19.88671875" style="16" customWidth="1"/>
    <col min="15366" max="15366" width="28.44140625" style="16" customWidth="1"/>
    <col min="15367" max="15616" width="9.109375" style="16"/>
    <col min="15617" max="15617" width="30.6640625" style="16" customWidth="1"/>
    <col min="15618" max="15618" width="27.109375" style="16" customWidth="1"/>
    <col min="15619" max="15619" width="20" style="16" customWidth="1"/>
    <col min="15620" max="15620" width="27.6640625" style="16" customWidth="1"/>
    <col min="15621" max="15621" width="19.88671875" style="16" customWidth="1"/>
    <col min="15622" max="15622" width="28.44140625" style="16" customWidth="1"/>
    <col min="15623" max="15872" width="9.109375" style="16"/>
    <col min="15873" max="15873" width="30.6640625" style="16" customWidth="1"/>
    <col min="15874" max="15874" width="27.109375" style="16" customWidth="1"/>
    <col min="15875" max="15875" width="20" style="16" customWidth="1"/>
    <col min="15876" max="15876" width="27.6640625" style="16" customWidth="1"/>
    <col min="15877" max="15877" width="19.88671875" style="16" customWidth="1"/>
    <col min="15878" max="15878" width="28.44140625" style="16" customWidth="1"/>
    <col min="15879" max="16128" width="9.109375" style="16"/>
    <col min="16129" max="16129" width="30.6640625" style="16" customWidth="1"/>
    <col min="16130" max="16130" width="27.109375" style="16" customWidth="1"/>
    <col min="16131" max="16131" width="20" style="16" customWidth="1"/>
    <col min="16132" max="16132" width="27.6640625" style="16" customWidth="1"/>
    <col min="16133" max="16133" width="19.88671875" style="16" customWidth="1"/>
    <col min="16134" max="16134" width="28.44140625" style="16" customWidth="1"/>
    <col min="16135" max="16384" width="9.109375" style="16"/>
  </cols>
  <sheetData>
    <row r="1" spans="1:6" ht="20.100000000000001" customHeight="1">
      <c r="A1" s="14"/>
      <c r="B1" s="1106" t="s">
        <v>117</v>
      </c>
      <c r="C1" s="1107"/>
      <c r="D1" s="1110" t="s">
        <v>118</v>
      </c>
      <c r="E1" s="1111"/>
      <c r="F1" s="15" t="s">
        <v>119</v>
      </c>
    </row>
    <row r="2" spans="1:6" ht="20.100000000000001" customHeight="1">
      <c r="A2" s="17"/>
      <c r="B2" s="1108"/>
      <c r="C2" s="1109"/>
      <c r="D2" s="1153" t="s">
        <v>645</v>
      </c>
      <c r="E2" s="1154"/>
      <c r="F2" s="18" t="s">
        <v>127</v>
      </c>
    </row>
    <row r="3" spans="1:6" ht="20.100000000000001" customHeight="1">
      <c r="A3" s="17"/>
      <c r="B3" s="1114" t="s">
        <v>681</v>
      </c>
      <c r="C3" s="1155" t="s">
        <v>644</v>
      </c>
      <c r="D3" s="19" t="s">
        <v>121</v>
      </c>
      <c r="E3" s="430" t="str">
        <f>'PROJECT INPUT DATA'!D3</f>
        <v>X.002-180-2024/1RF</v>
      </c>
      <c r="F3" s="57"/>
    </row>
    <row r="4" spans="1:6" ht="20.25" customHeight="1" thickBot="1">
      <c r="A4" s="20"/>
      <c r="B4" s="1115"/>
      <c r="C4" s="1156"/>
      <c r="D4" s="21" t="s">
        <v>122</v>
      </c>
      <c r="E4" s="546">
        <f>'F1  Cover'!K8</f>
        <v>1</v>
      </c>
      <c r="F4" s="23"/>
    </row>
    <row r="5" spans="1:6" ht="20.100000000000001" customHeight="1">
      <c r="A5" s="1097" t="s">
        <v>419</v>
      </c>
      <c r="B5" s="1098"/>
      <c r="C5" s="1098"/>
      <c r="D5" s="1098"/>
      <c r="E5" s="1098"/>
      <c r="F5" s="1099"/>
    </row>
    <row r="6" spans="1:6" ht="20.100000000000001" customHeight="1">
      <c r="A6" s="1100"/>
      <c r="B6" s="1101"/>
      <c r="C6" s="1101"/>
      <c r="D6" s="1101"/>
      <c r="E6" s="1101"/>
      <c r="F6" s="1102"/>
    </row>
    <row r="7" spans="1:6" ht="20.100000000000001" customHeight="1" thickBot="1">
      <c r="A7" s="1103"/>
      <c r="B7" s="1104"/>
      <c r="C7" s="1104"/>
      <c r="D7" s="1104"/>
      <c r="E7" s="1104"/>
      <c r="F7" s="1105"/>
    </row>
    <row r="8" spans="1:6" ht="20.100000000000001" customHeight="1">
      <c r="A8" s="24" t="s">
        <v>123</v>
      </c>
      <c r="B8" s="398" t="str">
        <f>E3</f>
        <v>X.002-180-2024/1RF</v>
      </c>
      <c r="C8" s="399"/>
      <c r="D8" s="399"/>
      <c r="E8" s="399"/>
      <c r="F8" s="400"/>
    </row>
    <row r="9" spans="1:6" ht="20.100000000000001" customHeight="1">
      <c r="A9" s="1129" t="s">
        <v>124</v>
      </c>
      <c r="B9" s="1131" t="str">
        <f>'PROJECT INPUT DATA'!D5</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C9" s="1132"/>
      <c r="D9" s="1132"/>
      <c r="E9" s="1132"/>
      <c r="F9" s="1133"/>
    </row>
    <row r="10" spans="1:6" ht="18.75" customHeight="1">
      <c r="A10" s="1130"/>
      <c r="B10" s="1134"/>
      <c r="C10" s="1135"/>
      <c r="D10" s="1135"/>
      <c r="E10" s="1135"/>
      <c r="F10" s="1136"/>
    </row>
    <row r="11" spans="1:6" ht="20.100000000000001" customHeight="1">
      <c r="A11" s="25" t="s">
        <v>125</v>
      </c>
      <c r="B11" s="1137">
        <f>'PROJECT INPUT DATA'!D13</f>
        <v>45433</v>
      </c>
      <c r="C11" s="1138"/>
      <c r="D11" s="27" t="s">
        <v>126</v>
      </c>
      <c r="E11" s="1149"/>
      <c r="F11" s="1150"/>
    </row>
    <row r="12" spans="1:6" ht="20.100000000000001" customHeight="1">
      <c r="A12" s="26" t="s">
        <v>127</v>
      </c>
      <c r="B12" s="1141" t="str">
        <f>'PROJECT INPUT DATA'!D7</f>
        <v/>
      </c>
      <c r="C12" s="1142"/>
      <c r="D12" s="1142"/>
      <c r="E12" s="1142"/>
      <c r="F12" s="1143"/>
    </row>
    <row r="13" spans="1:6" ht="20.100000000000001" customHeight="1">
      <c r="A13" s="27" t="s">
        <v>564</v>
      </c>
      <c r="B13" s="547">
        <f>'RRM Pricing Schedule'!F165</f>
        <v>25537475</v>
      </c>
      <c r="C13" s="397" t="s">
        <v>129</v>
      </c>
      <c r="D13" s="390"/>
      <c r="E13" s="390"/>
      <c r="F13" s="391"/>
    </row>
    <row r="14" spans="1:6" ht="20.100000000000001" customHeight="1">
      <c r="A14" s="26" t="s">
        <v>130</v>
      </c>
      <c r="B14" s="1144" t="str">
        <f>IF('F1 Forecast Contractor'!B14:D14="","",'F1 Forecast Contractor'!B14:D14)</f>
        <v/>
      </c>
      <c r="C14" s="1145"/>
      <c r="D14" s="1146"/>
      <c r="E14" s="390"/>
      <c r="F14" s="391"/>
    </row>
    <row r="15" spans="1:6" ht="20.100000000000001" customHeight="1">
      <c r="A15" s="25" t="s">
        <v>125</v>
      </c>
      <c r="B15" s="1151" t="str">
        <f>IF('F1 Forecast Contractor'!B15="","",'F1 Forecast Contractor'!B15)</f>
        <v/>
      </c>
      <c r="C15" s="1152"/>
      <c r="D15" s="27" t="s">
        <v>126</v>
      </c>
      <c r="E15" s="1118" t="str">
        <f>IF('F1 Forecast Contractor'!E15:F15="","",'F1 Forecast Contractor'!E15:F15)</f>
        <v/>
      </c>
      <c r="F15" s="1119"/>
    </row>
    <row r="16" spans="1:6" ht="36" customHeight="1" thickBot="1">
      <c r="A16" s="30" t="s">
        <v>131</v>
      </c>
      <c r="B16" s="393">
        <f>IF('F1 Forecast Contractor'!B16="","",'F1 Forecast Contractor'!B16)</f>
        <v>0</v>
      </c>
      <c r="C16" s="394" t="s">
        <v>129</v>
      </c>
      <c r="D16" s="390"/>
      <c r="E16" s="395"/>
      <c r="F16" s="396"/>
    </row>
    <row r="17" spans="1:6" ht="16.5" customHeight="1">
      <c r="A17" s="1120" t="s">
        <v>132</v>
      </c>
      <c r="B17" s="1123" t="s">
        <v>133</v>
      </c>
      <c r="C17" s="1124"/>
      <c r="D17" s="1124"/>
      <c r="E17" s="1125"/>
      <c r="F17" s="33" t="s">
        <v>134</v>
      </c>
    </row>
    <row r="18" spans="1:6" ht="14.25" customHeight="1">
      <c r="A18" s="1121"/>
      <c r="B18" s="1126" t="s">
        <v>129</v>
      </c>
      <c r="C18" s="1127"/>
      <c r="D18" s="1127"/>
      <c r="E18" s="1128"/>
      <c r="F18" s="34" t="s">
        <v>129</v>
      </c>
    </row>
    <row r="19" spans="1:6" ht="16.5" customHeight="1" thickBot="1">
      <c r="A19" s="1122"/>
      <c r="B19" s="35" t="s">
        <v>135</v>
      </c>
      <c r="C19" s="36" t="s">
        <v>136</v>
      </c>
      <c r="D19" s="401" t="s">
        <v>137</v>
      </c>
      <c r="E19" s="388" t="s">
        <v>50</v>
      </c>
      <c r="F19" s="38"/>
    </row>
    <row r="20" spans="1:6" ht="20.100000000000001" customHeight="1">
      <c r="A20" s="39" t="e">
        <f>'F1 Forecast Combined'!A20</f>
        <v>#N/A</v>
      </c>
      <c r="B20" s="558"/>
      <c r="C20" s="559"/>
      <c r="D20" s="560"/>
      <c r="E20" s="41">
        <f t="shared" ref="E20:E31" si="0">SUM(B20:C20)</f>
        <v>0</v>
      </c>
      <c r="F20" s="43"/>
    </row>
    <row r="21" spans="1:6" ht="20.100000000000001" customHeight="1">
      <c r="A21" s="39" t="e">
        <f>'F1 Forecast Combined'!A21</f>
        <v>#N/A</v>
      </c>
      <c r="B21" s="558"/>
      <c r="C21" s="559"/>
      <c r="D21" s="560"/>
      <c r="E21" s="41">
        <f t="shared" si="0"/>
        <v>0</v>
      </c>
      <c r="F21" s="43"/>
    </row>
    <row r="22" spans="1:6" ht="20.100000000000001" customHeight="1">
      <c r="A22" s="39" t="e">
        <f>'F1 Forecast Combined'!A22</f>
        <v>#N/A</v>
      </c>
      <c r="B22" s="558"/>
      <c r="C22" s="559"/>
      <c r="D22" s="560"/>
      <c r="E22" s="41">
        <f t="shared" si="0"/>
        <v>0</v>
      </c>
      <c r="F22" s="43"/>
    </row>
    <row r="23" spans="1:6" ht="20.100000000000001" customHeight="1">
      <c r="A23" s="39" t="e">
        <f>'F1 Forecast Combined'!A23</f>
        <v>#N/A</v>
      </c>
      <c r="B23" s="558"/>
      <c r="C23" s="559"/>
      <c r="D23" s="560"/>
      <c r="E23" s="41">
        <f t="shared" si="0"/>
        <v>0</v>
      </c>
      <c r="F23" s="43"/>
    </row>
    <row r="24" spans="1:6" ht="20.100000000000001" customHeight="1">
      <c r="A24" s="39" t="e">
        <f>'F1 Forecast Combined'!A24</f>
        <v>#N/A</v>
      </c>
      <c r="B24" s="558"/>
      <c r="C24" s="559"/>
      <c r="D24" s="560"/>
      <c r="E24" s="41">
        <f t="shared" si="0"/>
        <v>0</v>
      </c>
      <c r="F24" s="43"/>
    </row>
    <row r="25" spans="1:6" ht="20.100000000000001" customHeight="1">
      <c r="A25" s="39" t="e">
        <f>'F1 Forecast Combined'!A25</f>
        <v>#N/A</v>
      </c>
      <c r="B25" s="558"/>
      <c r="C25" s="559"/>
      <c r="D25" s="560"/>
      <c r="E25" s="41">
        <f t="shared" si="0"/>
        <v>0</v>
      </c>
      <c r="F25" s="43"/>
    </row>
    <row r="26" spans="1:6" ht="20.100000000000001" customHeight="1">
      <c r="A26" s="39" t="e">
        <f>'F1 Forecast Combined'!A26</f>
        <v>#N/A</v>
      </c>
      <c r="B26" s="558"/>
      <c r="C26" s="559"/>
      <c r="D26" s="560"/>
      <c r="E26" s="41">
        <f t="shared" si="0"/>
        <v>0</v>
      </c>
      <c r="F26" s="43"/>
    </row>
    <row r="27" spans="1:6" ht="20.100000000000001" customHeight="1">
      <c r="A27" s="39" t="e">
        <f>'F1 Forecast Combined'!A27</f>
        <v>#N/A</v>
      </c>
      <c r="B27" s="558"/>
      <c r="C27" s="559"/>
      <c r="D27" s="560"/>
      <c r="E27" s="41">
        <f t="shared" si="0"/>
        <v>0</v>
      </c>
      <c r="F27" s="43"/>
    </row>
    <row r="28" spans="1:6" ht="20.100000000000001" customHeight="1">
      <c r="A28" s="39" t="e">
        <f>'F1 Forecast Combined'!A28</f>
        <v>#N/A</v>
      </c>
      <c r="B28" s="558"/>
      <c r="C28" s="559"/>
      <c r="D28" s="560"/>
      <c r="E28" s="41">
        <f t="shared" si="0"/>
        <v>0</v>
      </c>
      <c r="F28" s="43"/>
    </row>
    <row r="29" spans="1:6" ht="20.100000000000001" customHeight="1">
      <c r="A29" s="39" t="e">
        <f>'F1 Forecast Combined'!A29</f>
        <v>#N/A</v>
      </c>
      <c r="B29" s="558"/>
      <c r="C29" s="559"/>
      <c r="D29" s="560"/>
      <c r="E29" s="41">
        <f t="shared" si="0"/>
        <v>0</v>
      </c>
      <c r="F29" s="43"/>
    </row>
    <row r="30" spans="1:6" ht="20.100000000000001" customHeight="1">
      <c r="A30" s="39" t="e">
        <f>'F1 Forecast Combined'!A30</f>
        <v>#N/A</v>
      </c>
      <c r="B30" s="558"/>
      <c r="C30" s="559"/>
      <c r="D30" s="560"/>
      <c r="E30" s="41">
        <f t="shared" si="0"/>
        <v>0</v>
      </c>
      <c r="F30" s="43"/>
    </row>
    <row r="31" spans="1:6" ht="20.100000000000001" customHeight="1">
      <c r="A31" s="39" t="e">
        <f>'F1 Forecast Combined'!A31</f>
        <v>#N/A</v>
      </c>
      <c r="B31" s="558"/>
      <c r="C31" s="561"/>
      <c r="D31" s="560"/>
      <c r="E31" s="44">
        <f t="shared" si="0"/>
        <v>0</v>
      </c>
      <c r="F31" s="43"/>
    </row>
    <row r="32" spans="1:6" ht="20.100000000000001" customHeight="1" thickBot="1">
      <c r="A32" s="45" t="e">
        <f>'F1 Forecast Combined'!A32</f>
        <v>#N/A</v>
      </c>
      <c r="B32" s="46">
        <f>SUM(B20:B31)</f>
        <v>0</v>
      </c>
      <c r="C32" s="46">
        <f>SUM(C20:C31)</f>
        <v>0</v>
      </c>
      <c r="D32" s="402"/>
      <c r="E32" s="46">
        <f>SUM(E20:E31)</f>
        <v>0</v>
      </c>
      <c r="F32" s="47">
        <f>SUM(F20:F31)</f>
        <v>0</v>
      </c>
    </row>
    <row r="33" spans="1:6" ht="20.100000000000001" customHeight="1" thickTop="1">
      <c r="A33" s="39" t="e">
        <f>'F1 Forecast Combined'!A33</f>
        <v>#N/A</v>
      </c>
      <c r="B33" s="562"/>
      <c r="C33" s="563"/>
      <c r="D33" s="564"/>
      <c r="E33" s="48">
        <f t="shared" ref="E33:E44" si="1">SUM(B33:C33)</f>
        <v>0</v>
      </c>
      <c r="F33" s="43"/>
    </row>
    <row r="34" spans="1:6" ht="20.100000000000001" customHeight="1">
      <c r="A34" s="39" t="e">
        <f>'F1 Forecast Combined'!A34</f>
        <v>#N/A</v>
      </c>
      <c r="B34" s="562"/>
      <c r="C34" s="559"/>
      <c r="D34" s="564"/>
      <c r="E34" s="48">
        <f t="shared" si="1"/>
        <v>0</v>
      </c>
      <c r="F34" s="43"/>
    </row>
    <row r="35" spans="1:6" ht="20.100000000000001" customHeight="1">
      <c r="A35" s="39" t="e">
        <f>'F1 Forecast Combined'!A35</f>
        <v>#N/A</v>
      </c>
      <c r="B35" s="562"/>
      <c r="C35" s="563"/>
      <c r="D35" s="564"/>
      <c r="E35" s="48">
        <f t="shared" si="1"/>
        <v>0</v>
      </c>
      <c r="F35" s="43"/>
    </row>
    <row r="36" spans="1:6" ht="20.100000000000001" customHeight="1">
      <c r="A36" s="39" t="e">
        <f>'F1 Forecast Combined'!A36</f>
        <v>#N/A</v>
      </c>
      <c r="B36" s="562"/>
      <c r="C36" s="559"/>
      <c r="D36" s="564"/>
      <c r="E36" s="48">
        <f t="shared" si="1"/>
        <v>0</v>
      </c>
      <c r="F36" s="43"/>
    </row>
    <row r="37" spans="1:6" ht="20.100000000000001" customHeight="1">
      <c r="A37" s="39" t="e">
        <f>'F1 Forecast Combined'!A37</f>
        <v>#N/A</v>
      </c>
      <c r="B37" s="562"/>
      <c r="C37" s="559"/>
      <c r="D37" s="564"/>
      <c r="E37" s="48">
        <f t="shared" si="1"/>
        <v>0</v>
      </c>
      <c r="F37" s="43"/>
    </row>
    <row r="38" spans="1:6" ht="20.100000000000001" customHeight="1">
      <c r="A38" s="39" t="e">
        <f>'F1 Forecast Combined'!A38</f>
        <v>#N/A</v>
      </c>
      <c r="B38" s="562"/>
      <c r="C38" s="559"/>
      <c r="D38" s="564"/>
      <c r="E38" s="48">
        <f t="shared" si="1"/>
        <v>0</v>
      </c>
      <c r="F38" s="43"/>
    </row>
    <row r="39" spans="1:6" ht="20.100000000000001" customHeight="1">
      <c r="A39" s="39" t="e">
        <f>'F1 Forecast Combined'!A39</f>
        <v>#N/A</v>
      </c>
      <c r="B39" s="562"/>
      <c r="C39" s="559"/>
      <c r="D39" s="564"/>
      <c r="E39" s="48">
        <f t="shared" si="1"/>
        <v>0</v>
      </c>
      <c r="F39" s="43"/>
    </row>
    <row r="40" spans="1:6" ht="20.100000000000001" customHeight="1">
      <c r="A40" s="39" t="e">
        <f>'F1 Forecast Combined'!A40</f>
        <v>#N/A</v>
      </c>
      <c r="B40" s="562"/>
      <c r="C40" s="559"/>
      <c r="D40" s="564"/>
      <c r="E40" s="48">
        <f t="shared" si="1"/>
        <v>0</v>
      </c>
      <c r="F40" s="43"/>
    </row>
    <row r="41" spans="1:6" ht="20.100000000000001" customHeight="1">
      <c r="A41" s="39" t="e">
        <f>'F1 Forecast Combined'!A41</f>
        <v>#N/A</v>
      </c>
      <c r="B41" s="562"/>
      <c r="C41" s="559"/>
      <c r="D41" s="564"/>
      <c r="E41" s="48">
        <f t="shared" si="1"/>
        <v>0</v>
      </c>
      <c r="F41" s="43"/>
    </row>
    <row r="42" spans="1:6" ht="20.100000000000001" customHeight="1">
      <c r="A42" s="39" t="e">
        <f>'F1 Forecast Combined'!A42</f>
        <v>#N/A</v>
      </c>
      <c r="B42" s="562"/>
      <c r="C42" s="559"/>
      <c r="D42" s="564"/>
      <c r="E42" s="48">
        <f t="shared" si="1"/>
        <v>0</v>
      </c>
      <c r="F42" s="43"/>
    </row>
    <row r="43" spans="1:6" ht="20.100000000000001" customHeight="1">
      <c r="A43" s="39" t="e">
        <f>'F1 Forecast Combined'!A43</f>
        <v>#N/A</v>
      </c>
      <c r="B43" s="562"/>
      <c r="C43" s="559"/>
      <c r="D43" s="564"/>
      <c r="E43" s="48">
        <f t="shared" si="1"/>
        <v>0</v>
      </c>
      <c r="F43" s="43"/>
    </row>
    <row r="44" spans="1:6" ht="20.100000000000001" customHeight="1">
      <c r="A44" s="39" t="e">
        <f>'F1 Forecast Combined'!A44</f>
        <v>#N/A</v>
      </c>
      <c r="B44" s="562"/>
      <c r="C44" s="559"/>
      <c r="D44" s="564"/>
      <c r="E44" s="48">
        <f t="shared" si="1"/>
        <v>0</v>
      </c>
      <c r="F44" s="43"/>
    </row>
    <row r="45" spans="1:6" ht="20.100000000000001" customHeight="1" thickBot="1">
      <c r="A45" s="49" t="e">
        <f>'F1 Forecast Combined'!A45</f>
        <v>#N/A</v>
      </c>
      <c r="B45" s="50">
        <f>SUM(B33:B44)</f>
        <v>0</v>
      </c>
      <c r="C45" s="50">
        <f>SUM(C33:C44)</f>
        <v>0</v>
      </c>
      <c r="D45" s="403"/>
      <c r="E45" s="50">
        <f>SUM(E33:E44)</f>
        <v>0</v>
      </c>
      <c r="F45" s="51">
        <f>SUM(F33:F44)</f>
        <v>0</v>
      </c>
    </row>
    <row r="46" spans="1:6" ht="20.100000000000001" customHeight="1" thickTop="1">
      <c r="A46" s="39" t="e">
        <f>'F1 Forecast Combined'!A46</f>
        <v>#N/A</v>
      </c>
      <c r="B46" s="562"/>
      <c r="C46" s="559"/>
      <c r="D46" s="564"/>
      <c r="E46" s="48">
        <f t="shared" ref="E46:E57" si="2">SUM(B46:C46)</f>
        <v>0</v>
      </c>
      <c r="F46" s="43"/>
    </row>
    <row r="47" spans="1:6" ht="20.100000000000001" customHeight="1">
      <c r="A47" s="39" t="e">
        <f>'F1 Forecast Combined'!A47</f>
        <v>#N/A</v>
      </c>
      <c r="B47" s="562"/>
      <c r="C47" s="559"/>
      <c r="D47" s="564"/>
      <c r="E47" s="48">
        <f t="shared" si="2"/>
        <v>0</v>
      </c>
      <c r="F47" s="43"/>
    </row>
    <row r="48" spans="1:6" ht="20.100000000000001" customHeight="1">
      <c r="A48" s="39" t="e">
        <f>'F1 Forecast Combined'!A48</f>
        <v>#N/A</v>
      </c>
      <c r="B48" s="562"/>
      <c r="C48" s="563"/>
      <c r="D48" s="564"/>
      <c r="E48" s="48">
        <f t="shared" si="2"/>
        <v>0</v>
      </c>
      <c r="F48" s="43"/>
    </row>
    <row r="49" spans="1:6" ht="20.100000000000001" customHeight="1">
      <c r="A49" s="39" t="e">
        <f>'F1 Forecast Combined'!A49</f>
        <v>#N/A</v>
      </c>
      <c r="B49" s="562"/>
      <c r="C49" s="563"/>
      <c r="D49" s="564"/>
      <c r="E49" s="48">
        <f t="shared" si="2"/>
        <v>0</v>
      </c>
      <c r="F49" s="43"/>
    </row>
    <row r="50" spans="1:6" ht="20.100000000000001" customHeight="1">
      <c r="A50" s="39" t="e">
        <f>'F1 Forecast Combined'!A50</f>
        <v>#N/A</v>
      </c>
      <c r="B50" s="562"/>
      <c r="C50" s="563"/>
      <c r="D50" s="564"/>
      <c r="E50" s="48">
        <f t="shared" si="2"/>
        <v>0</v>
      </c>
      <c r="F50" s="43"/>
    </row>
    <row r="51" spans="1:6" ht="20.100000000000001" customHeight="1">
      <c r="A51" s="39" t="e">
        <f>'F1 Forecast Combined'!A51</f>
        <v>#N/A</v>
      </c>
      <c r="B51" s="562"/>
      <c r="C51" s="563"/>
      <c r="D51" s="564"/>
      <c r="E51" s="48">
        <f t="shared" si="2"/>
        <v>0</v>
      </c>
      <c r="F51" s="43"/>
    </row>
    <row r="52" spans="1:6" ht="20.100000000000001" customHeight="1">
      <c r="A52" s="39" t="e">
        <f>'F1 Forecast Combined'!A52</f>
        <v>#N/A</v>
      </c>
      <c r="B52" s="562"/>
      <c r="C52" s="563"/>
      <c r="D52" s="564"/>
      <c r="E52" s="48">
        <f t="shared" si="2"/>
        <v>0</v>
      </c>
      <c r="F52" s="43"/>
    </row>
    <row r="53" spans="1:6" ht="20.100000000000001" customHeight="1">
      <c r="A53" s="39" t="e">
        <f>'F1 Forecast Combined'!A53</f>
        <v>#N/A</v>
      </c>
      <c r="B53" s="562"/>
      <c r="C53" s="563"/>
      <c r="D53" s="564"/>
      <c r="E53" s="48">
        <f t="shared" si="2"/>
        <v>0</v>
      </c>
      <c r="F53" s="43"/>
    </row>
    <row r="54" spans="1:6" ht="20.100000000000001" customHeight="1">
      <c r="A54" s="39" t="e">
        <f>'F1 Forecast Combined'!A54</f>
        <v>#N/A</v>
      </c>
      <c r="B54" s="562"/>
      <c r="C54" s="563"/>
      <c r="D54" s="564"/>
      <c r="E54" s="48">
        <f t="shared" si="2"/>
        <v>0</v>
      </c>
      <c r="F54" s="43"/>
    </row>
    <row r="55" spans="1:6" ht="20.100000000000001" customHeight="1">
      <c r="A55" s="39" t="e">
        <f>'F1 Forecast Combined'!A55</f>
        <v>#N/A</v>
      </c>
      <c r="B55" s="562"/>
      <c r="C55" s="563"/>
      <c r="D55" s="564"/>
      <c r="E55" s="48">
        <f t="shared" si="2"/>
        <v>0</v>
      </c>
      <c r="F55" s="43"/>
    </row>
    <row r="56" spans="1:6" ht="20.100000000000001" customHeight="1">
      <c r="A56" s="39" t="e">
        <f>'F1 Forecast Combined'!A56</f>
        <v>#N/A</v>
      </c>
      <c r="B56" s="562"/>
      <c r="C56" s="563"/>
      <c r="D56" s="564"/>
      <c r="E56" s="48">
        <f t="shared" si="2"/>
        <v>0</v>
      </c>
      <c r="F56" s="43"/>
    </row>
    <row r="57" spans="1:6" ht="20.100000000000001" customHeight="1">
      <c r="A57" s="39" t="e">
        <f>'F1 Forecast Combined'!A57</f>
        <v>#N/A</v>
      </c>
      <c r="B57" s="562"/>
      <c r="C57" s="563"/>
      <c r="D57" s="564"/>
      <c r="E57" s="48">
        <f t="shared" si="2"/>
        <v>0</v>
      </c>
      <c r="F57" s="43"/>
    </row>
    <row r="58" spans="1:6" ht="20.100000000000001" customHeight="1" thickBot="1">
      <c r="A58" s="49" t="e">
        <f>'F1 Forecast Combined'!A58</f>
        <v>#N/A</v>
      </c>
      <c r="B58" s="50">
        <f>SUM(B46:B57)</f>
        <v>0</v>
      </c>
      <c r="C58" s="50">
        <f>SUM(C46:C57)</f>
        <v>0</v>
      </c>
      <c r="D58" s="403"/>
      <c r="E58" s="50">
        <f>SUM(E46:E57)</f>
        <v>0</v>
      </c>
      <c r="F58" s="51">
        <f>SUM(F46:F57)</f>
        <v>0</v>
      </c>
    </row>
    <row r="59" spans="1:6" ht="20.100000000000001" customHeight="1" thickTop="1" thickBot="1">
      <c r="A59" s="52" t="s">
        <v>141</v>
      </c>
      <c r="B59" s="53">
        <f>+B32+B45+B58</f>
        <v>0</v>
      </c>
      <c r="C59" s="53">
        <f>+C32+C45+C58</f>
        <v>0</v>
      </c>
      <c r="D59" s="404"/>
      <c r="E59" s="53">
        <f>+E32+E45+E58</f>
        <v>0</v>
      </c>
      <c r="F59" s="54">
        <f>+F32+F45+F58</f>
        <v>0</v>
      </c>
    </row>
    <row r="60" spans="1:6" ht="20.100000000000001" customHeight="1">
      <c r="A60" s="55" t="s">
        <v>142</v>
      </c>
      <c r="B60" s="55" t="s">
        <v>143</v>
      </c>
    </row>
    <row r="62" spans="1:6" ht="20.100000000000001" customHeight="1">
      <c r="C62" s="56"/>
    </row>
    <row r="63" spans="1:6" ht="20.100000000000001" customHeight="1" thickBot="1"/>
    <row r="64" spans="1:6" ht="20.100000000000001" customHeight="1">
      <c r="A64" s="14"/>
      <c r="B64" s="1106" t="s">
        <v>117</v>
      </c>
      <c r="C64" s="1107"/>
      <c r="D64" s="1110" t="s">
        <v>118</v>
      </c>
      <c r="E64" s="1111"/>
      <c r="F64" s="15" t="s">
        <v>119</v>
      </c>
    </row>
    <row r="65" spans="1:6" ht="20.100000000000001" customHeight="1">
      <c r="A65" s="17"/>
      <c r="B65" s="1108"/>
      <c r="C65" s="1109"/>
      <c r="D65" s="1112" t="str">
        <f>D2</f>
        <v>Routine Road Maintenance</v>
      </c>
      <c r="E65" s="1113"/>
      <c r="F65" s="18" t="s">
        <v>127</v>
      </c>
    </row>
    <row r="66" spans="1:6" ht="20.100000000000001" customHeight="1">
      <c r="A66" s="17"/>
      <c r="B66" s="1114" t="s">
        <v>120</v>
      </c>
      <c r="C66" s="1116" t="str">
        <f>C3</f>
        <v>WESTERN</v>
      </c>
      <c r="D66" s="19" t="s">
        <v>121</v>
      </c>
      <c r="E66" s="365" t="str">
        <f>E3</f>
        <v>X.002-180-2024/1RF</v>
      </c>
      <c r="F66" s="57"/>
    </row>
    <row r="67" spans="1:6" ht="20.100000000000001" customHeight="1" thickBot="1">
      <c r="A67" s="20"/>
      <c r="B67" s="1115"/>
      <c r="C67" s="1117"/>
      <c r="D67" s="21" t="s">
        <v>122</v>
      </c>
      <c r="E67" s="554">
        <f>E4</f>
        <v>1</v>
      </c>
      <c r="F67" s="23"/>
    </row>
    <row r="68" spans="1:6" ht="20.100000000000001" customHeight="1">
      <c r="A68" s="1097" t="s">
        <v>418</v>
      </c>
      <c r="B68" s="1098"/>
      <c r="C68" s="1098"/>
      <c r="D68" s="1098"/>
      <c r="E68" s="1098"/>
      <c r="F68" s="1099"/>
    </row>
    <row r="69" spans="1:6" ht="20.100000000000001" customHeight="1">
      <c r="A69" s="1100"/>
      <c r="B69" s="1101"/>
      <c r="C69" s="1101"/>
      <c r="D69" s="1101"/>
      <c r="E69" s="1101"/>
      <c r="F69" s="1102"/>
    </row>
    <row r="70" spans="1:6" ht="20.100000000000001" customHeight="1" thickBot="1">
      <c r="A70" s="1103"/>
      <c r="B70" s="1104"/>
      <c r="C70" s="1104"/>
      <c r="D70" s="1104"/>
      <c r="E70" s="1104"/>
      <c r="F70" s="1105"/>
    </row>
    <row r="71" spans="1:6" ht="20.100000000000001" customHeight="1">
      <c r="A71" s="24" t="s">
        <v>123</v>
      </c>
      <c r="B71" s="398" t="str">
        <f>B8</f>
        <v>X.002-180-2024/1RF</v>
      </c>
      <c r="C71" s="399"/>
      <c r="D71" s="399"/>
      <c r="E71" s="399"/>
      <c r="F71" s="400"/>
    </row>
    <row r="72" spans="1:6" ht="20.100000000000001" customHeight="1">
      <c r="A72" s="1129" t="s">
        <v>124</v>
      </c>
      <c r="B72" s="1131" t="str">
        <f>B9</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C72" s="1132"/>
      <c r="D72" s="1132"/>
      <c r="E72" s="1132"/>
      <c r="F72" s="1133"/>
    </row>
    <row r="73" spans="1:6" ht="20.100000000000001" customHeight="1">
      <c r="A73" s="1130"/>
      <c r="B73" s="1134"/>
      <c r="C73" s="1135"/>
      <c r="D73" s="1135"/>
      <c r="E73" s="1135"/>
      <c r="F73" s="1136"/>
    </row>
    <row r="74" spans="1:6" ht="20.100000000000001" customHeight="1">
      <c r="A74" s="25" t="s">
        <v>125</v>
      </c>
      <c r="B74" s="1137">
        <f t="shared" ref="B74:B79" si="3">B11</f>
        <v>45433</v>
      </c>
      <c r="C74" s="1138"/>
      <c r="D74" s="27" t="s">
        <v>126</v>
      </c>
      <c r="E74" s="1139">
        <f>E11</f>
        <v>0</v>
      </c>
      <c r="F74" s="1140"/>
    </row>
    <row r="75" spans="1:6" ht="20.100000000000001" customHeight="1">
      <c r="A75" s="26" t="s">
        <v>127</v>
      </c>
      <c r="B75" s="1141" t="str">
        <f t="shared" si="3"/>
        <v/>
      </c>
      <c r="C75" s="1142"/>
      <c r="D75" s="1142"/>
      <c r="E75" s="1142"/>
      <c r="F75" s="1143"/>
    </row>
    <row r="76" spans="1:6" ht="20.100000000000001" customHeight="1">
      <c r="A76" s="27" t="s">
        <v>128</v>
      </c>
      <c r="B76" s="547">
        <f t="shared" si="3"/>
        <v>25537475</v>
      </c>
      <c r="C76" s="397" t="s">
        <v>129</v>
      </c>
      <c r="D76" s="390"/>
      <c r="E76" s="390"/>
      <c r="F76" s="391"/>
    </row>
    <row r="77" spans="1:6" ht="20.100000000000001" customHeight="1">
      <c r="A77" s="26" t="s">
        <v>130</v>
      </c>
      <c r="B77" s="1144" t="str">
        <f t="shared" si="3"/>
        <v/>
      </c>
      <c r="C77" s="1145"/>
      <c r="D77" s="1146"/>
      <c r="E77" s="390"/>
      <c r="F77" s="391"/>
    </row>
    <row r="78" spans="1:6" ht="20.100000000000001" customHeight="1">
      <c r="A78" s="25" t="s">
        <v>125</v>
      </c>
      <c r="B78" s="1151" t="str">
        <f t="shared" si="3"/>
        <v/>
      </c>
      <c r="C78" s="1152"/>
      <c r="D78" s="27" t="s">
        <v>126</v>
      </c>
      <c r="E78" s="1118" t="str">
        <f>E15</f>
        <v/>
      </c>
      <c r="F78" s="1119"/>
    </row>
    <row r="79" spans="1:6" ht="36.75" customHeight="1" thickBot="1">
      <c r="A79" s="30" t="s">
        <v>131</v>
      </c>
      <c r="B79" s="393">
        <f t="shared" si="3"/>
        <v>0</v>
      </c>
      <c r="C79" s="394" t="s">
        <v>129</v>
      </c>
      <c r="D79" s="390"/>
      <c r="E79" s="395"/>
      <c r="F79" s="396"/>
    </row>
    <row r="80" spans="1:6" ht="20.100000000000001" customHeight="1">
      <c r="A80" s="1120" t="s">
        <v>132</v>
      </c>
      <c r="B80" s="1123" t="s">
        <v>133</v>
      </c>
      <c r="C80" s="1124"/>
      <c r="D80" s="1124"/>
      <c r="E80" s="1125"/>
      <c r="F80" s="33" t="s">
        <v>134</v>
      </c>
    </row>
    <row r="81" spans="1:6" ht="20.100000000000001" customHeight="1">
      <c r="A81" s="1121"/>
      <c r="B81" s="1126" t="s">
        <v>129</v>
      </c>
      <c r="C81" s="1127"/>
      <c r="D81" s="1127"/>
      <c r="E81" s="1128"/>
      <c r="F81" s="34" t="s">
        <v>129</v>
      </c>
    </row>
    <row r="82" spans="1:6" ht="20.100000000000001" customHeight="1" thickBot="1">
      <c r="A82" s="1122"/>
      <c r="B82" s="35" t="s">
        <v>135</v>
      </c>
      <c r="C82" s="36" t="s">
        <v>136</v>
      </c>
      <c r="D82" s="401" t="s">
        <v>137</v>
      </c>
      <c r="E82" s="388" t="str">
        <f>'F1 Forecast Combined'!A83</f>
        <v>Brought Forward</v>
      </c>
      <c r="F82" s="38"/>
    </row>
    <row r="83" spans="1:6" ht="20.100000000000001" customHeight="1" thickBot="1">
      <c r="A83" s="555" t="str">
        <f>'F1 Forecast Combined'!A83</f>
        <v>Brought Forward</v>
      </c>
      <c r="B83" s="551">
        <f>B59</f>
        <v>0</v>
      </c>
      <c r="C83" s="552">
        <f>C59</f>
        <v>0</v>
      </c>
      <c r="D83" s="557"/>
      <c r="E83" s="552">
        <f>E59</f>
        <v>0</v>
      </c>
      <c r="F83" s="47">
        <f>F59</f>
        <v>0</v>
      </c>
    </row>
    <row r="84" spans="1:6" ht="20.100000000000001" customHeight="1" thickTop="1">
      <c r="A84" s="39" t="e">
        <f>'F1 Forecast Combined'!A84</f>
        <v>#N/A</v>
      </c>
      <c r="B84" s="558"/>
      <c r="C84" s="559"/>
      <c r="D84" s="560"/>
      <c r="E84" s="41">
        <f t="shared" ref="E84:E95" si="4">SUM(B84:C84)</f>
        <v>0</v>
      </c>
      <c r="F84" s="43"/>
    </row>
    <row r="85" spans="1:6" ht="20.100000000000001" customHeight="1">
      <c r="A85" s="39" t="e">
        <f>'F1 Forecast Combined'!A85</f>
        <v>#N/A</v>
      </c>
      <c r="B85" s="558"/>
      <c r="C85" s="559"/>
      <c r="D85" s="560"/>
      <c r="E85" s="41">
        <f t="shared" si="4"/>
        <v>0</v>
      </c>
      <c r="F85" s="43"/>
    </row>
    <row r="86" spans="1:6" ht="20.100000000000001" customHeight="1">
      <c r="A86" s="39" t="e">
        <f>'F1 Forecast Combined'!A86</f>
        <v>#N/A</v>
      </c>
      <c r="B86" s="558"/>
      <c r="C86" s="559"/>
      <c r="D86" s="560"/>
      <c r="E86" s="41">
        <f t="shared" si="4"/>
        <v>0</v>
      </c>
      <c r="F86" s="43"/>
    </row>
    <row r="87" spans="1:6" ht="20.100000000000001" customHeight="1">
      <c r="A87" s="39" t="e">
        <f>'F1 Forecast Combined'!A87</f>
        <v>#N/A</v>
      </c>
      <c r="B87" s="558"/>
      <c r="C87" s="559"/>
      <c r="D87" s="560"/>
      <c r="E87" s="41">
        <f t="shared" si="4"/>
        <v>0</v>
      </c>
      <c r="F87" s="43"/>
    </row>
    <row r="88" spans="1:6" ht="20.100000000000001" customHeight="1">
      <c r="A88" s="39" t="e">
        <f>'F1 Forecast Combined'!A88</f>
        <v>#N/A</v>
      </c>
      <c r="B88" s="558"/>
      <c r="C88" s="559"/>
      <c r="D88" s="560"/>
      <c r="E88" s="41">
        <f t="shared" si="4"/>
        <v>0</v>
      </c>
      <c r="F88" s="43"/>
    </row>
    <row r="89" spans="1:6" ht="20.100000000000001" customHeight="1">
      <c r="A89" s="39" t="e">
        <f>'F1 Forecast Combined'!A89</f>
        <v>#N/A</v>
      </c>
      <c r="B89" s="558"/>
      <c r="C89" s="559"/>
      <c r="D89" s="560"/>
      <c r="E89" s="41">
        <f t="shared" si="4"/>
        <v>0</v>
      </c>
      <c r="F89" s="43"/>
    </row>
    <row r="90" spans="1:6" ht="20.100000000000001" customHeight="1">
      <c r="A90" s="39" t="e">
        <f>'F1 Forecast Combined'!A90</f>
        <v>#N/A</v>
      </c>
      <c r="B90" s="558"/>
      <c r="C90" s="559"/>
      <c r="D90" s="560"/>
      <c r="E90" s="41">
        <f t="shared" si="4"/>
        <v>0</v>
      </c>
      <c r="F90" s="43"/>
    </row>
    <row r="91" spans="1:6" ht="20.100000000000001" customHeight="1">
      <c r="A91" s="39" t="e">
        <f>'F1 Forecast Combined'!A91</f>
        <v>#N/A</v>
      </c>
      <c r="B91" s="558"/>
      <c r="C91" s="559"/>
      <c r="D91" s="560"/>
      <c r="E91" s="41">
        <f t="shared" si="4"/>
        <v>0</v>
      </c>
      <c r="F91" s="43"/>
    </row>
    <row r="92" spans="1:6" ht="20.100000000000001" customHeight="1">
      <c r="A92" s="39" t="e">
        <f>'F1 Forecast Combined'!A92</f>
        <v>#N/A</v>
      </c>
      <c r="B92" s="558"/>
      <c r="C92" s="559"/>
      <c r="D92" s="560"/>
      <c r="E92" s="41">
        <f t="shared" si="4"/>
        <v>0</v>
      </c>
      <c r="F92" s="43"/>
    </row>
    <row r="93" spans="1:6" ht="20.100000000000001" customHeight="1">
      <c r="A93" s="39" t="e">
        <f>'F1 Forecast Combined'!A93</f>
        <v>#N/A</v>
      </c>
      <c r="B93" s="558"/>
      <c r="C93" s="559"/>
      <c r="D93" s="560"/>
      <c r="E93" s="41">
        <f t="shared" si="4"/>
        <v>0</v>
      </c>
      <c r="F93" s="43"/>
    </row>
    <row r="94" spans="1:6" ht="20.100000000000001" customHeight="1">
      <c r="A94" s="39" t="e">
        <f>'F1 Forecast Combined'!A94</f>
        <v>#N/A</v>
      </c>
      <c r="B94" s="558"/>
      <c r="C94" s="559"/>
      <c r="D94" s="560"/>
      <c r="E94" s="41">
        <f t="shared" si="4"/>
        <v>0</v>
      </c>
      <c r="F94" s="43"/>
    </row>
    <row r="95" spans="1:6" ht="20.100000000000001" customHeight="1">
      <c r="A95" s="39" t="e">
        <f>'F1 Forecast Combined'!A95</f>
        <v>#N/A</v>
      </c>
      <c r="B95" s="558"/>
      <c r="C95" s="561"/>
      <c r="D95" s="560"/>
      <c r="E95" s="44">
        <f t="shared" si="4"/>
        <v>0</v>
      </c>
      <c r="F95" s="43"/>
    </row>
    <row r="96" spans="1:6" ht="20.100000000000001" customHeight="1" thickBot="1">
      <c r="A96" s="556" t="e">
        <f>'F1 Forecast Combined'!A96</f>
        <v>#N/A</v>
      </c>
      <c r="B96" s="46">
        <f>SUM(B84:B95)</f>
        <v>0</v>
      </c>
      <c r="C96" s="46">
        <f>SUM(C84:C95)</f>
        <v>0</v>
      </c>
      <c r="D96" s="402"/>
      <c r="E96" s="46">
        <f>SUM(E84:E95)</f>
        <v>0</v>
      </c>
      <c r="F96" s="47">
        <f>SUM(F84:F95)</f>
        <v>0</v>
      </c>
    </row>
    <row r="97" spans="1:6" ht="20.100000000000001" customHeight="1" thickTop="1">
      <c r="A97" s="39" t="e">
        <f>'F1 Forecast Combined'!A97</f>
        <v>#N/A</v>
      </c>
      <c r="B97" s="562"/>
      <c r="C97" s="563"/>
      <c r="D97" s="564"/>
      <c r="E97" s="48">
        <f t="shared" ref="E97:E108" si="5">SUM(B97:C97)</f>
        <v>0</v>
      </c>
      <c r="F97" s="43"/>
    </row>
    <row r="98" spans="1:6" ht="20.100000000000001" customHeight="1">
      <c r="A98" s="39" t="e">
        <f>'F1 Forecast Combined'!A98</f>
        <v>#N/A</v>
      </c>
      <c r="B98" s="562"/>
      <c r="C98" s="559"/>
      <c r="D98" s="564"/>
      <c r="E98" s="48">
        <f t="shared" si="5"/>
        <v>0</v>
      </c>
      <c r="F98" s="43"/>
    </row>
    <row r="99" spans="1:6" ht="20.100000000000001" customHeight="1">
      <c r="A99" s="39" t="e">
        <f>'F1 Forecast Combined'!A99</f>
        <v>#N/A</v>
      </c>
      <c r="B99" s="562"/>
      <c r="C99" s="563"/>
      <c r="D99" s="564"/>
      <c r="E99" s="48">
        <f t="shared" si="5"/>
        <v>0</v>
      </c>
      <c r="F99" s="43"/>
    </row>
    <row r="100" spans="1:6" ht="20.100000000000001" customHeight="1">
      <c r="A100" s="39" t="e">
        <f>'F1 Forecast Combined'!A100</f>
        <v>#N/A</v>
      </c>
      <c r="B100" s="562"/>
      <c r="C100" s="559"/>
      <c r="D100" s="564"/>
      <c r="E100" s="48">
        <f t="shared" si="5"/>
        <v>0</v>
      </c>
      <c r="F100" s="43"/>
    </row>
    <row r="101" spans="1:6" ht="20.100000000000001" customHeight="1">
      <c r="A101" s="39" t="e">
        <f>'F1 Forecast Combined'!A101</f>
        <v>#N/A</v>
      </c>
      <c r="B101" s="562"/>
      <c r="C101" s="559"/>
      <c r="D101" s="564"/>
      <c r="E101" s="48">
        <f t="shared" si="5"/>
        <v>0</v>
      </c>
      <c r="F101" s="43"/>
    </row>
    <row r="102" spans="1:6" ht="20.100000000000001" customHeight="1">
      <c r="A102" s="39" t="e">
        <f>'F1 Forecast Combined'!A102</f>
        <v>#N/A</v>
      </c>
      <c r="B102" s="562"/>
      <c r="C102" s="559"/>
      <c r="D102" s="564"/>
      <c r="E102" s="48">
        <f t="shared" si="5"/>
        <v>0</v>
      </c>
      <c r="F102" s="43"/>
    </row>
    <row r="103" spans="1:6" ht="20.100000000000001" customHeight="1">
      <c r="A103" s="39" t="e">
        <f>'F1 Forecast Combined'!A103</f>
        <v>#N/A</v>
      </c>
      <c r="B103" s="562"/>
      <c r="C103" s="559"/>
      <c r="D103" s="564"/>
      <c r="E103" s="48">
        <f t="shared" si="5"/>
        <v>0</v>
      </c>
      <c r="F103" s="43"/>
    </row>
    <row r="104" spans="1:6" ht="20.100000000000001" customHeight="1">
      <c r="A104" s="39" t="e">
        <f>'F1 Forecast Combined'!A104</f>
        <v>#N/A</v>
      </c>
      <c r="B104" s="562"/>
      <c r="C104" s="559"/>
      <c r="D104" s="564"/>
      <c r="E104" s="48">
        <f t="shared" si="5"/>
        <v>0</v>
      </c>
      <c r="F104" s="43"/>
    </row>
    <row r="105" spans="1:6" ht="20.100000000000001" customHeight="1">
      <c r="A105" s="39" t="e">
        <f>'F1 Forecast Combined'!A105</f>
        <v>#N/A</v>
      </c>
      <c r="B105" s="562"/>
      <c r="C105" s="559"/>
      <c r="D105" s="564"/>
      <c r="E105" s="48">
        <f t="shared" si="5"/>
        <v>0</v>
      </c>
      <c r="F105" s="43"/>
    </row>
    <row r="106" spans="1:6" ht="20.100000000000001" customHeight="1">
      <c r="A106" s="39" t="e">
        <f>'F1 Forecast Combined'!A106</f>
        <v>#N/A</v>
      </c>
      <c r="B106" s="562"/>
      <c r="C106" s="559"/>
      <c r="D106" s="564"/>
      <c r="E106" s="48">
        <f t="shared" si="5"/>
        <v>0</v>
      </c>
      <c r="F106" s="43"/>
    </row>
    <row r="107" spans="1:6" ht="20.100000000000001" customHeight="1">
      <c r="A107" s="39" t="e">
        <f>'F1 Forecast Combined'!A107</f>
        <v>#N/A</v>
      </c>
      <c r="B107" s="562"/>
      <c r="C107" s="559"/>
      <c r="D107" s="564"/>
      <c r="E107" s="48">
        <f t="shared" si="5"/>
        <v>0</v>
      </c>
      <c r="F107" s="43"/>
    </row>
    <row r="108" spans="1:6" ht="20.100000000000001" customHeight="1">
      <c r="A108" s="39" t="e">
        <f>'F1 Forecast Combined'!A108</f>
        <v>#N/A</v>
      </c>
      <c r="B108" s="562"/>
      <c r="C108" s="559"/>
      <c r="D108" s="564"/>
      <c r="E108" s="48">
        <f t="shared" si="5"/>
        <v>0</v>
      </c>
      <c r="F108" s="43"/>
    </row>
    <row r="109" spans="1:6" ht="20.100000000000001" customHeight="1" thickBot="1">
      <c r="A109" s="556" t="e">
        <f>'F1 Forecast Combined'!A109</f>
        <v>#N/A</v>
      </c>
      <c r="B109" s="50">
        <f>SUM(B97:B108)</f>
        <v>0</v>
      </c>
      <c r="C109" s="50">
        <f>SUM(C97:C108)</f>
        <v>0</v>
      </c>
      <c r="D109" s="403"/>
      <c r="E109" s="50">
        <f>SUM(E97:E108)</f>
        <v>0</v>
      </c>
      <c r="F109" s="51">
        <f>SUM(F97:F108)</f>
        <v>0</v>
      </c>
    </row>
    <row r="110" spans="1:6" ht="20.100000000000001" customHeight="1" thickTop="1">
      <c r="A110" s="39" t="e">
        <f>'F1 Forecast Combined'!A110</f>
        <v>#N/A</v>
      </c>
      <c r="B110" s="562"/>
      <c r="C110" s="559"/>
      <c r="D110" s="564"/>
      <c r="E110" s="48">
        <f t="shared" ref="E110:E121" si="6">SUM(B110:C110)</f>
        <v>0</v>
      </c>
      <c r="F110" s="43"/>
    </row>
    <row r="111" spans="1:6" ht="20.100000000000001" customHeight="1">
      <c r="A111" s="39" t="e">
        <f>'F1 Forecast Combined'!A111</f>
        <v>#N/A</v>
      </c>
      <c r="B111" s="562"/>
      <c r="C111" s="559"/>
      <c r="D111" s="564"/>
      <c r="E111" s="48">
        <f t="shared" si="6"/>
        <v>0</v>
      </c>
      <c r="F111" s="43"/>
    </row>
    <row r="112" spans="1:6" ht="20.100000000000001" customHeight="1">
      <c r="A112" s="39" t="e">
        <f>'F1 Forecast Combined'!A112</f>
        <v>#N/A</v>
      </c>
      <c r="B112" s="562"/>
      <c r="C112" s="563"/>
      <c r="D112" s="564"/>
      <c r="E112" s="48">
        <f t="shared" si="6"/>
        <v>0</v>
      </c>
      <c r="F112" s="43"/>
    </row>
    <row r="113" spans="1:6" ht="20.100000000000001" customHeight="1">
      <c r="A113" s="39" t="e">
        <f>'F1 Forecast Combined'!A113</f>
        <v>#N/A</v>
      </c>
      <c r="B113" s="562"/>
      <c r="C113" s="563"/>
      <c r="D113" s="564"/>
      <c r="E113" s="48">
        <f t="shared" si="6"/>
        <v>0</v>
      </c>
      <c r="F113" s="43"/>
    </row>
    <row r="114" spans="1:6" ht="20.100000000000001" customHeight="1">
      <c r="A114" s="39" t="e">
        <f>'F1 Forecast Combined'!A114</f>
        <v>#N/A</v>
      </c>
      <c r="B114" s="562"/>
      <c r="C114" s="563"/>
      <c r="D114" s="564"/>
      <c r="E114" s="48">
        <f t="shared" si="6"/>
        <v>0</v>
      </c>
      <c r="F114" s="43"/>
    </row>
    <row r="115" spans="1:6" ht="20.100000000000001" customHeight="1">
      <c r="A115" s="39" t="e">
        <f>'F1 Forecast Combined'!A115</f>
        <v>#N/A</v>
      </c>
      <c r="B115" s="562"/>
      <c r="C115" s="563"/>
      <c r="D115" s="564"/>
      <c r="E115" s="48">
        <f t="shared" si="6"/>
        <v>0</v>
      </c>
      <c r="F115" s="43"/>
    </row>
    <row r="116" spans="1:6" ht="20.100000000000001" customHeight="1">
      <c r="A116" s="39" t="e">
        <f>'F1 Forecast Combined'!A116</f>
        <v>#N/A</v>
      </c>
      <c r="B116" s="562"/>
      <c r="C116" s="563"/>
      <c r="D116" s="564"/>
      <c r="E116" s="48">
        <f t="shared" si="6"/>
        <v>0</v>
      </c>
      <c r="F116" s="43"/>
    </row>
    <row r="117" spans="1:6" ht="20.100000000000001" customHeight="1">
      <c r="A117" s="39" t="e">
        <f>'F1 Forecast Combined'!A117</f>
        <v>#N/A</v>
      </c>
      <c r="B117" s="562"/>
      <c r="C117" s="563"/>
      <c r="D117" s="564"/>
      <c r="E117" s="48">
        <f t="shared" si="6"/>
        <v>0</v>
      </c>
      <c r="F117" s="43"/>
    </row>
    <row r="118" spans="1:6" ht="20.100000000000001" customHeight="1">
      <c r="A118" s="39" t="e">
        <f>'F1 Forecast Combined'!A118</f>
        <v>#N/A</v>
      </c>
      <c r="B118" s="562"/>
      <c r="C118" s="563"/>
      <c r="D118" s="564"/>
      <c r="E118" s="48">
        <f t="shared" si="6"/>
        <v>0</v>
      </c>
      <c r="F118" s="43"/>
    </row>
    <row r="119" spans="1:6" ht="20.100000000000001" customHeight="1">
      <c r="A119" s="39" t="e">
        <f>'F1 Forecast Combined'!A119</f>
        <v>#N/A</v>
      </c>
      <c r="B119" s="562"/>
      <c r="C119" s="563"/>
      <c r="D119" s="564"/>
      <c r="E119" s="48">
        <f t="shared" si="6"/>
        <v>0</v>
      </c>
      <c r="F119" s="43"/>
    </row>
    <row r="120" spans="1:6" ht="20.100000000000001" customHeight="1">
      <c r="A120" s="39" t="e">
        <f>'F1 Forecast Combined'!A120</f>
        <v>#N/A</v>
      </c>
      <c r="B120" s="562"/>
      <c r="C120" s="563"/>
      <c r="D120" s="564"/>
      <c r="E120" s="48">
        <f t="shared" si="6"/>
        <v>0</v>
      </c>
      <c r="F120" s="43"/>
    </row>
    <row r="121" spans="1:6" ht="20.100000000000001" customHeight="1">
      <c r="A121" s="39" t="e">
        <f>'F1 Forecast Combined'!A121</f>
        <v>#N/A</v>
      </c>
      <c r="B121" s="562"/>
      <c r="C121" s="563"/>
      <c r="D121" s="564"/>
      <c r="E121" s="48">
        <f t="shared" si="6"/>
        <v>0</v>
      </c>
      <c r="F121" s="43"/>
    </row>
    <row r="122" spans="1:6" ht="20.100000000000001" customHeight="1" thickBot="1">
      <c r="A122" s="556" t="e">
        <f>'F1 Forecast Combined'!A122</f>
        <v>#N/A</v>
      </c>
      <c r="B122" s="50">
        <f>SUM(B110:B121)</f>
        <v>0</v>
      </c>
      <c r="C122" s="50">
        <f>SUM(C110:C121)</f>
        <v>0</v>
      </c>
      <c r="D122" s="403"/>
      <c r="E122" s="50">
        <f>SUM(E110:E121)</f>
        <v>0</v>
      </c>
      <c r="F122" s="51">
        <f>SUM(F110:F121)</f>
        <v>0</v>
      </c>
    </row>
    <row r="123" spans="1:6" ht="20.100000000000001" customHeight="1" thickTop="1" thickBot="1">
      <c r="A123" s="52" t="s">
        <v>141</v>
      </c>
      <c r="B123" s="53">
        <f>B83+B96+B109+B122</f>
        <v>0</v>
      </c>
      <c r="C123" s="53">
        <f>C83+C96+C109+C122</f>
        <v>0</v>
      </c>
      <c r="D123" s="404"/>
      <c r="E123" s="53">
        <f>E83+E96+E109+E122</f>
        <v>0</v>
      </c>
      <c r="F123" s="54">
        <f>F83+F96+F109+F122</f>
        <v>0</v>
      </c>
    </row>
    <row r="124" spans="1:6" ht="20.100000000000001" customHeight="1">
      <c r="A124" s="55" t="s">
        <v>142</v>
      </c>
      <c r="B124" s="55" t="s">
        <v>143</v>
      </c>
    </row>
  </sheetData>
  <mergeCells count="34">
    <mergeCell ref="B75:F75"/>
    <mergeCell ref="B77:D77"/>
    <mergeCell ref="B78:C78"/>
    <mergeCell ref="E78:F78"/>
    <mergeCell ref="A80:A82"/>
    <mergeCell ref="B80:E80"/>
    <mergeCell ref="B81:E81"/>
    <mergeCell ref="A68:F70"/>
    <mergeCell ref="A72:A73"/>
    <mergeCell ref="B72:F73"/>
    <mergeCell ref="B74:C74"/>
    <mergeCell ref="E74:F74"/>
    <mergeCell ref="B64:C65"/>
    <mergeCell ref="D64:E64"/>
    <mergeCell ref="D65:E65"/>
    <mergeCell ref="B66:B67"/>
    <mergeCell ref="C66:C67"/>
    <mergeCell ref="A5:F7"/>
    <mergeCell ref="B1:C2"/>
    <mergeCell ref="D1:E1"/>
    <mergeCell ref="D2:E2"/>
    <mergeCell ref="B3:B4"/>
    <mergeCell ref="C3:C4"/>
    <mergeCell ref="E15:F15"/>
    <mergeCell ref="A17:A19"/>
    <mergeCell ref="B17:E17"/>
    <mergeCell ref="B18:E18"/>
    <mergeCell ref="A9:A10"/>
    <mergeCell ref="B9:F10"/>
    <mergeCell ref="B11:C11"/>
    <mergeCell ref="E11:F11"/>
    <mergeCell ref="B12:F12"/>
    <mergeCell ref="B14:D14"/>
    <mergeCell ref="B15:C15"/>
  </mergeCells>
  <pageMargins left="0" right="0" top="0.35433070866141736" bottom="0" header="0.11811023622047245" footer="0.11811023622047245"/>
  <pageSetup paperSize="9" scale="65" fitToHeight="2" orientation="portrait" blackAndWhite="1" r:id="rId1"/>
  <headerFooter alignWithMargins="0">
    <oddHeader>&amp;L&amp;"Calibri"&amp;10&amp;K000000 Sensitivity - General&amp;1#_x000D_</oddHeader>
  </headerFooter>
  <colBreaks count="1" manualBreakCount="1">
    <brk id="6" max="58"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5">
    <tabColor rgb="FF0070C0"/>
    <pageSetUpPr fitToPage="1"/>
  </sheetPr>
  <dimension ref="A1:J124"/>
  <sheetViews>
    <sheetView zoomScale="70" zoomScaleNormal="70" zoomScaleSheetLayoutView="75" workbookViewId="0">
      <selection sqref="A1:E1"/>
    </sheetView>
  </sheetViews>
  <sheetFormatPr defaultRowHeight="20.100000000000001" customHeight="1"/>
  <cols>
    <col min="1" max="1" width="30.6640625" style="16" customWidth="1"/>
    <col min="2" max="2" width="27.109375" style="16" customWidth="1"/>
    <col min="3" max="3" width="21.5546875" style="16" customWidth="1"/>
    <col min="4" max="4" width="27.6640625" style="16" customWidth="1"/>
    <col min="5" max="5" width="19.88671875" style="16" customWidth="1"/>
    <col min="6" max="6" width="27" style="16" customWidth="1"/>
    <col min="7" max="9" width="9.109375" style="16"/>
    <col min="10" max="10" width="9.109375" style="16" customWidth="1"/>
    <col min="11" max="256" width="9.109375" style="16"/>
    <col min="257" max="257" width="30.6640625" style="16" customWidth="1"/>
    <col min="258" max="258" width="27.109375" style="16" customWidth="1"/>
    <col min="259" max="259" width="20" style="16" customWidth="1"/>
    <col min="260" max="260" width="27.6640625" style="16" customWidth="1"/>
    <col min="261" max="261" width="19.88671875" style="16" customWidth="1"/>
    <col min="262" max="262" width="28.44140625" style="16" customWidth="1"/>
    <col min="263" max="512" width="9.109375" style="16"/>
    <col min="513" max="513" width="30.6640625" style="16" customWidth="1"/>
    <col min="514" max="514" width="27.109375" style="16" customWidth="1"/>
    <col min="515" max="515" width="20" style="16" customWidth="1"/>
    <col min="516" max="516" width="27.6640625" style="16" customWidth="1"/>
    <col min="517" max="517" width="19.88671875" style="16" customWidth="1"/>
    <col min="518" max="518" width="28.44140625" style="16" customWidth="1"/>
    <col min="519" max="768" width="9.109375" style="16"/>
    <col min="769" max="769" width="30.6640625" style="16" customWidth="1"/>
    <col min="770" max="770" width="27.109375" style="16" customWidth="1"/>
    <col min="771" max="771" width="20" style="16" customWidth="1"/>
    <col min="772" max="772" width="27.6640625" style="16" customWidth="1"/>
    <col min="773" max="773" width="19.88671875" style="16" customWidth="1"/>
    <col min="774" max="774" width="28.44140625" style="16" customWidth="1"/>
    <col min="775" max="1024" width="9.109375" style="16"/>
    <col min="1025" max="1025" width="30.6640625" style="16" customWidth="1"/>
    <col min="1026" max="1026" width="27.109375" style="16" customWidth="1"/>
    <col min="1027" max="1027" width="20" style="16" customWidth="1"/>
    <col min="1028" max="1028" width="27.6640625" style="16" customWidth="1"/>
    <col min="1029" max="1029" width="19.88671875" style="16" customWidth="1"/>
    <col min="1030" max="1030" width="28.44140625" style="16" customWidth="1"/>
    <col min="1031" max="1280" width="9.109375" style="16"/>
    <col min="1281" max="1281" width="30.6640625" style="16" customWidth="1"/>
    <col min="1282" max="1282" width="27.109375" style="16" customWidth="1"/>
    <col min="1283" max="1283" width="20" style="16" customWidth="1"/>
    <col min="1284" max="1284" width="27.6640625" style="16" customWidth="1"/>
    <col min="1285" max="1285" width="19.88671875" style="16" customWidth="1"/>
    <col min="1286" max="1286" width="28.44140625" style="16" customWidth="1"/>
    <col min="1287" max="1536" width="9.109375" style="16"/>
    <col min="1537" max="1537" width="30.6640625" style="16" customWidth="1"/>
    <col min="1538" max="1538" width="27.109375" style="16" customWidth="1"/>
    <col min="1539" max="1539" width="20" style="16" customWidth="1"/>
    <col min="1540" max="1540" width="27.6640625" style="16" customWidth="1"/>
    <col min="1541" max="1541" width="19.88671875" style="16" customWidth="1"/>
    <col min="1542" max="1542" width="28.44140625" style="16" customWidth="1"/>
    <col min="1543" max="1792" width="9.109375" style="16"/>
    <col min="1793" max="1793" width="30.6640625" style="16" customWidth="1"/>
    <col min="1794" max="1794" width="27.109375" style="16" customWidth="1"/>
    <col min="1795" max="1795" width="20" style="16" customWidth="1"/>
    <col min="1796" max="1796" width="27.6640625" style="16" customWidth="1"/>
    <col min="1797" max="1797" width="19.88671875" style="16" customWidth="1"/>
    <col min="1798" max="1798" width="28.44140625" style="16" customWidth="1"/>
    <col min="1799" max="2048" width="9.109375" style="16"/>
    <col min="2049" max="2049" width="30.6640625" style="16" customWidth="1"/>
    <col min="2050" max="2050" width="27.109375" style="16" customWidth="1"/>
    <col min="2051" max="2051" width="20" style="16" customWidth="1"/>
    <col min="2052" max="2052" width="27.6640625" style="16" customWidth="1"/>
    <col min="2053" max="2053" width="19.88671875" style="16" customWidth="1"/>
    <col min="2054" max="2054" width="28.44140625" style="16" customWidth="1"/>
    <col min="2055" max="2304" width="9.109375" style="16"/>
    <col min="2305" max="2305" width="30.6640625" style="16" customWidth="1"/>
    <col min="2306" max="2306" width="27.109375" style="16" customWidth="1"/>
    <col min="2307" max="2307" width="20" style="16" customWidth="1"/>
    <col min="2308" max="2308" width="27.6640625" style="16" customWidth="1"/>
    <col min="2309" max="2309" width="19.88671875" style="16" customWidth="1"/>
    <col min="2310" max="2310" width="28.44140625" style="16" customWidth="1"/>
    <col min="2311" max="2560" width="9.109375" style="16"/>
    <col min="2561" max="2561" width="30.6640625" style="16" customWidth="1"/>
    <col min="2562" max="2562" width="27.109375" style="16" customWidth="1"/>
    <col min="2563" max="2563" width="20" style="16" customWidth="1"/>
    <col min="2564" max="2564" width="27.6640625" style="16" customWidth="1"/>
    <col min="2565" max="2565" width="19.88671875" style="16" customWidth="1"/>
    <col min="2566" max="2566" width="28.44140625" style="16" customWidth="1"/>
    <col min="2567" max="2816" width="9.109375" style="16"/>
    <col min="2817" max="2817" width="30.6640625" style="16" customWidth="1"/>
    <col min="2818" max="2818" width="27.109375" style="16" customWidth="1"/>
    <col min="2819" max="2819" width="20" style="16" customWidth="1"/>
    <col min="2820" max="2820" width="27.6640625" style="16" customWidth="1"/>
    <col min="2821" max="2821" width="19.88671875" style="16" customWidth="1"/>
    <col min="2822" max="2822" width="28.44140625" style="16" customWidth="1"/>
    <col min="2823" max="3072" width="9.109375" style="16"/>
    <col min="3073" max="3073" width="30.6640625" style="16" customWidth="1"/>
    <col min="3074" max="3074" width="27.109375" style="16" customWidth="1"/>
    <col min="3075" max="3075" width="20" style="16" customWidth="1"/>
    <col min="3076" max="3076" width="27.6640625" style="16" customWidth="1"/>
    <col min="3077" max="3077" width="19.88671875" style="16" customWidth="1"/>
    <col min="3078" max="3078" width="28.44140625" style="16" customWidth="1"/>
    <col min="3079" max="3328" width="9.109375" style="16"/>
    <col min="3329" max="3329" width="30.6640625" style="16" customWidth="1"/>
    <col min="3330" max="3330" width="27.109375" style="16" customWidth="1"/>
    <col min="3331" max="3331" width="20" style="16" customWidth="1"/>
    <col min="3332" max="3332" width="27.6640625" style="16" customWidth="1"/>
    <col min="3333" max="3333" width="19.88671875" style="16" customWidth="1"/>
    <col min="3334" max="3334" width="28.44140625" style="16" customWidth="1"/>
    <col min="3335" max="3584" width="9.109375" style="16"/>
    <col min="3585" max="3585" width="30.6640625" style="16" customWidth="1"/>
    <col min="3586" max="3586" width="27.109375" style="16" customWidth="1"/>
    <col min="3587" max="3587" width="20" style="16" customWidth="1"/>
    <col min="3588" max="3588" width="27.6640625" style="16" customWidth="1"/>
    <col min="3589" max="3589" width="19.88671875" style="16" customWidth="1"/>
    <col min="3590" max="3590" width="28.44140625" style="16" customWidth="1"/>
    <col min="3591" max="3840" width="9.109375" style="16"/>
    <col min="3841" max="3841" width="30.6640625" style="16" customWidth="1"/>
    <col min="3842" max="3842" width="27.109375" style="16" customWidth="1"/>
    <col min="3843" max="3843" width="20" style="16" customWidth="1"/>
    <col min="3844" max="3844" width="27.6640625" style="16" customWidth="1"/>
    <col min="3845" max="3845" width="19.88671875" style="16" customWidth="1"/>
    <col min="3846" max="3846" width="28.44140625" style="16" customWidth="1"/>
    <col min="3847" max="4096" width="9.109375" style="16"/>
    <col min="4097" max="4097" width="30.6640625" style="16" customWidth="1"/>
    <col min="4098" max="4098" width="27.109375" style="16" customWidth="1"/>
    <col min="4099" max="4099" width="20" style="16" customWidth="1"/>
    <col min="4100" max="4100" width="27.6640625" style="16" customWidth="1"/>
    <col min="4101" max="4101" width="19.88671875" style="16" customWidth="1"/>
    <col min="4102" max="4102" width="28.44140625" style="16" customWidth="1"/>
    <col min="4103" max="4352" width="9.109375" style="16"/>
    <col min="4353" max="4353" width="30.6640625" style="16" customWidth="1"/>
    <col min="4354" max="4354" width="27.109375" style="16" customWidth="1"/>
    <col min="4355" max="4355" width="20" style="16" customWidth="1"/>
    <col min="4356" max="4356" width="27.6640625" style="16" customWidth="1"/>
    <col min="4357" max="4357" width="19.88671875" style="16" customWidth="1"/>
    <col min="4358" max="4358" width="28.44140625" style="16" customWidth="1"/>
    <col min="4359" max="4608" width="9.109375" style="16"/>
    <col min="4609" max="4609" width="30.6640625" style="16" customWidth="1"/>
    <col min="4610" max="4610" width="27.109375" style="16" customWidth="1"/>
    <col min="4611" max="4611" width="20" style="16" customWidth="1"/>
    <col min="4612" max="4612" width="27.6640625" style="16" customWidth="1"/>
    <col min="4613" max="4613" width="19.88671875" style="16" customWidth="1"/>
    <col min="4614" max="4614" width="28.44140625" style="16" customWidth="1"/>
    <col min="4615" max="4864" width="9.109375" style="16"/>
    <col min="4865" max="4865" width="30.6640625" style="16" customWidth="1"/>
    <col min="4866" max="4866" width="27.109375" style="16" customWidth="1"/>
    <col min="4867" max="4867" width="20" style="16" customWidth="1"/>
    <col min="4868" max="4868" width="27.6640625" style="16" customWidth="1"/>
    <col min="4869" max="4869" width="19.88671875" style="16" customWidth="1"/>
    <col min="4870" max="4870" width="28.44140625" style="16" customWidth="1"/>
    <col min="4871" max="5120" width="9.109375" style="16"/>
    <col min="5121" max="5121" width="30.6640625" style="16" customWidth="1"/>
    <col min="5122" max="5122" width="27.109375" style="16" customWidth="1"/>
    <col min="5123" max="5123" width="20" style="16" customWidth="1"/>
    <col min="5124" max="5124" width="27.6640625" style="16" customWidth="1"/>
    <col min="5125" max="5125" width="19.88671875" style="16" customWidth="1"/>
    <col min="5126" max="5126" width="28.44140625" style="16" customWidth="1"/>
    <col min="5127" max="5376" width="9.109375" style="16"/>
    <col min="5377" max="5377" width="30.6640625" style="16" customWidth="1"/>
    <col min="5378" max="5378" width="27.109375" style="16" customWidth="1"/>
    <col min="5379" max="5379" width="20" style="16" customWidth="1"/>
    <col min="5380" max="5380" width="27.6640625" style="16" customWidth="1"/>
    <col min="5381" max="5381" width="19.88671875" style="16" customWidth="1"/>
    <col min="5382" max="5382" width="28.44140625" style="16" customWidth="1"/>
    <col min="5383" max="5632" width="9.109375" style="16"/>
    <col min="5633" max="5633" width="30.6640625" style="16" customWidth="1"/>
    <col min="5634" max="5634" width="27.109375" style="16" customWidth="1"/>
    <col min="5635" max="5635" width="20" style="16" customWidth="1"/>
    <col min="5636" max="5636" width="27.6640625" style="16" customWidth="1"/>
    <col min="5637" max="5637" width="19.88671875" style="16" customWidth="1"/>
    <col min="5638" max="5638" width="28.44140625" style="16" customWidth="1"/>
    <col min="5639" max="5888" width="9.109375" style="16"/>
    <col min="5889" max="5889" width="30.6640625" style="16" customWidth="1"/>
    <col min="5890" max="5890" width="27.109375" style="16" customWidth="1"/>
    <col min="5891" max="5891" width="20" style="16" customWidth="1"/>
    <col min="5892" max="5892" width="27.6640625" style="16" customWidth="1"/>
    <col min="5893" max="5893" width="19.88671875" style="16" customWidth="1"/>
    <col min="5894" max="5894" width="28.44140625" style="16" customWidth="1"/>
    <col min="5895" max="6144" width="9.109375" style="16"/>
    <col min="6145" max="6145" width="30.6640625" style="16" customWidth="1"/>
    <col min="6146" max="6146" width="27.109375" style="16" customWidth="1"/>
    <col min="6147" max="6147" width="20" style="16" customWidth="1"/>
    <col min="6148" max="6148" width="27.6640625" style="16" customWidth="1"/>
    <col min="6149" max="6149" width="19.88671875" style="16" customWidth="1"/>
    <col min="6150" max="6150" width="28.44140625" style="16" customWidth="1"/>
    <col min="6151" max="6400" width="9.109375" style="16"/>
    <col min="6401" max="6401" width="30.6640625" style="16" customWidth="1"/>
    <col min="6402" max="6402" width="27.109375" style="16" customWidth="1"/>
    <col min="6403" max="6403" width="20" style="16" customWidth="1"/>
    <col min="6404" max="6404" width="27.6640625" style="16" customWidth="1"/>
    <col min="6405" max="6405" width="19.88671875" style="16" customWidth="1"/>
    <col min="6406" max="6406" width="28.44140625" style="16" customWidth="1"/>
    <col min="6407" max="6656" width="9.109375" style="16"/>
    <col min="6657" max="6657" width="30.6640625" style="16" customWidth="1"/>
    <col min="6658" max="6658" width="27.109375" style="16" customWidth="1"/>
    <col min="6659" max="6659" width="20" style="16" customWidth="1"/>
    <col min="6660" max="6660" width="27.6640625" style="16" customWidth="1"/>
    <col min="6661" max="6661" width="19.88671875" style="16" customWidth="1"/>
    <col min="6662" max="6662" width="28.44140625" style="16" customWidth="1"/>
    <col min="6663" max="6912" width="9.109375" style="16"/>
    <col min="6913" max="6913" width="30.6640625" style="16" customWidth="1"/>
    <col min="6914" max="6914" width="27.109375" style="16" customWidth="1"/>
    <col min="6915" max="6915" width="20" style="16" customWidth="1"/>
    <col min="6916" max="6916" width="27.6640625" style="16" customWidth="1"/>
    <col min="6917" max="6917" width="19.88671875" style="16" customWidth="1"/>
    <col min="6918" max="6918" width="28.44140625" style="16" customWidth="1"/>
    <col min="6919" max="7168" width="9.109375" style="16"/>
    <col min="7169" max="7169" width="30.6640625" style="16" customWidth="1"/>
    <col min="7170" max="7170" width="27.109375" style="16" customWidth="1"/>
    <col min="7171" max="7171" width="20" style="16" customWidth="1"/>
    <col min="7172" max="7172" width="27.6640625" style="16" customWidth="1"/>
    <col min="7173" max="7173" width="19.88671875" style="16" customWidth="1"/>
    <col min="7174" max="7174" width="28.44140625" style="16" customWidth="1"/>
    <col min="7175" max="7424" width="9.109375" style="16"/>
    <col min="7425" max="7425" width="30.6640625" style="16" customWidth="1"/>
    <col min="7426" max="7426" width="27.109375" style="16" customWidth="1"/>
    <col min="7427" max="7427" width="20" style="16" customWidth="1"/>
    <col min="7428" max="7428" width="27.6640625" style="16" customWidth="1"/>
    <col min="7429" max="7429" width="19.88671875" style="16" customWidth="1"/>
    <col min="7430" max="7430" width="28.44140625" style="16" customWidth="1"/>
    <col min="7431" max="7680" width="9.109375" style="16"/>
    <col min="7681" max="7681" width="30.6640625" style="16" customWidth="1"/>
    <col min="7682" max="7682" width="27.109375" style="16" customWidth="1"/>
    <col min="7683" max="7683" width="20" style="16" customWidth="1"/>
    <col min="7684" max="7684" width="27.6640625" style="16" customWidth="1"/>
    <col min="7685" max="7685" width="19.88671875" style="16" customWidth="1"/>
    <col min="7686" max="7686" width="28.44140625" style="16" customWidth="1"/>
    <col min="7687" max="7936" width="9.109375" style="16"/>
    <col min="7937" max="7937" width="30.6640625" style="16" customWidth="1"/>
    <col min="7938" max="7938" width="27.109375" style="16" customWidth="1"/>
    <col min="7939" max="7939" width="20" style="16" customWidth="1"/>
    <col min="7940" max="7940" width="27.6640625" style="16" customWidth="1"/>
    <col min="7941" max="7941" width="19.88671875" style="16" customWidth="1"/>
    <col min="7942" max="7942" width="28.44140625" style="16" customWidth="1"/>
    <col min="7943" max="8192" width="9.109375" style="16"/>
    <col min="8193" max="8193" width="30.6640625" style="16" customWidth="1"/>
    <col min="8194" max="8194" width="27.109375" style="16" customWidth="1"/>
    <col min="8195" max="8195" width="20" style="16" customWidth="1"/>
    <col min="8196" max="8196" width="27.6640625" style="16" customWidth="1"/>
    <col min="8197" max="8197" width="19.88671875" style="16" customWidth="1"/>
    <col min="8198" max="8198" width="28.44140625" style="16" customWidth="1"/>
    <col min="8199" max="8448" width="9.109375" style="16"/>
    <col min="8449" max="8449" width="30.6640625" style="16" customWidth="1"/>
    <col min="8450" max="8450" width="27.109375" style="16" customWidth="1"/>
    <col min="8451" max="8451" width="20" style="16" customWidth="1"/>
    <col min="8452" max="8452" width="27.6640625" style="16" customWidth="1"/>
    <col min="8453" max="8453" width="19.88671875" style="16" customWidth="1"/>
    <col min="8454" max="8454" width="28.44140625" style="16" customWidth="1"/>
    <col min="8455" max="8704" width="9.109375" style="16"/>
    <col min="8705" max="8705" width="30.6640625" style="16" customWidth="1"/>
    <col min="8706" max="8706" width="27.109375" style="16" customWidth="1"/>
    <col min="8707" max="8707" width="20" style="16" customWidth="1"/>
    <col min="8708" max="8708" width="27.6640625" style="16" customWidth="1"/>
    <col min="8709" max="8709" width="19.88671875" style="16" customWidth="1"/>
    <col min="8710" max="8710" width="28.44140625" style="16" customWidth="1"/>
    <col min="8711" max="8960" width="9.109375" style="16"/>
    <col min="8961" max="8961" width="30.6640625" style="16" customWidth="1"/>
    <col min="8962" max="8962" width="27.109375" style="16" customWidth="1"/>
    <col min="8963" max="8963" width="20" style="16" customWidth="1"/>
    <col min="8964" max="8964" width="27.6640625" style="16" customWidth="1"/>
    <col min="8965" max="8965" width="19.88671875" style="16" customWidth="1"/>
    <col min="8966" max="8966" width="28.44140625" style="16" customWidth="1"/>
    <col min="8967" max="9216" width="9.109375" style="16"/>
    <col min="9217" max="9217" width="30.6640625" style="16" customWidth="1"/>
    <col min="9218" max="9218" width="27.109375" style="16" customWidth="1"/>
    <col min="9219" max="9219" width="20" style="16" customWidth="1"/>
    <col min="9220" max="9220" width="27.6640625" style="16" customWidth="1"/>
    <col min="9221" max="9221" width="19.88671875" style="16" customWidth="1"/>
    <col min="9222" max="9222" width="28.44140625" style="16" customWidth="1"/>
    <col min="9223" max="9472" width="9.109375" style="16"/>
    <col min="9473" max="9473" width="30.6640625" style="16" customWidth="1"/>
    <col min="9474" max="9474" width="27.109375" style="16" customWidth="1"/>
    <col min="9475" max="9475" width="20" style="16" customWidth="1"/>
    <col min="9476" max="9476" width="27.6640625" style="16" customWidth="1"/>
    <col min="9477" max="9477" width="19.88671875" style="16" customWidth="1"/>
    <col min="9478" max="9478" width="28.44140625" style="16" customWidth="1"/>
    <col min="9479" max="9728" width="9.109375" style="16"/>
    <col min="9729" max="9729" width="30.6640625" style="16" customWidth="1"/>
    <col min="9730" max="9730" width="27.109375" style="16" customWidth="1"/>
    <col min="9731" max="9731" width="20" style="16" customWidth="1"/>
    <col min="9732" max="9732" width="27.6640625" style="16" customWidth="1"/>
    <col min="9733" max="9733" width="19.88671875" style="16" customWidth="1"/>
    <col min="9734" max="9734" width="28.44140625" style="16" customWidth="1"/>
    <col min="9735" max="9984" width="9.109375" style="16"/>
    <col min="9985" max="9985" width="30.6640625" style="16" customWidth="1"/>
    <col min="9986" max="9986" width="27.109375" style="16" customWidth="1"/>
    <col min="9987" max="9987" width="20" style="16" customWidth="1"/>
    <col min="9988" max="9988" width="27.6640625" style="16" customWidth="1"/>
    <col min="9989" max="9989" width="19.88671875" style="16" customWidth="1"/>
    <col min="9990" max="9990" width="28.44140625" style="16" customWidth="1"/>
    <col min="9991" max="10240" width="9.109375" style="16"/>
    <col min="10241" max="10241" width="30.6640625" style="16" customWidth="1"/>
    <col min="10242" max="10242" width="27.109375" style="16" customWidth="1"/>
    <col min="10243" max="10243" width="20" style="16" customWidth="1"/>
    <col min="10244" max="10244" width="27.6640625" style="16" customWidth="1"/>
    <col min="10245" max="10245" width="19.88671875" style="16" customWidth="1"/>
    <col min="10246" max="10246" width="28.44140625" style="16" customWidth="1"/>
    <col min="10247" max="10496" width="9.109375" style="16"/>
    <col min="10497" max="10497" width="30.6640625" style="16" customWidth="1"/>
    <col min="10498" max="10498" width="27.109375" style="16" customWidth="1"/>
    <col min="10499" max="10499" width="20" style="16" customWidth="1"/>
    <col min="10500" max="10500" width="27.6640625" style="16" customWidth="1"/>
    <col min="10501" max="10501" width="19.88671875" style="16" customWidth="1"/>
    <col min="10502" max="10502" width="28.44140625" style="16" customWidth="1"/>
    <col min="10503" max="10752" width="9.109375" style="16"/>
    <col min="10753" max="10753" width="30.6640625" style="16" customWidth="1"/>
    <col min="10754" max="10754" width="27.109375" style="16" customWidth="1"/>
    <col min="10755" max="10755" width="20" style="16" customWidth="1"/>
    <col min="10756" max="10756" width="27.6640625" style="16" customWidth="1"/>
    <col min="10757" max="10757" width="19.88671875" style="16" customWidth="1"/>
    <col min="10758" max="10758" width="28.44140625" style="16" customWidth="1"/>
    <col min="10759" max="11008" width="9.109375" style="16"/>
    <col min="11009" max="11009" width="30.6640625" style="16" customWidth="1"/>
    <col min="11010" max="11010" width="27.109375" style="16" customWidth="1"/>
    <col min="11011" max="11011" width="20" style="16" customWidth="1"/>
    <col min="11012" max="11012" width="27.6640625" style="16" customWidth="1"/>
    <col min="11013" max="11013" width="19.88671875" style="16" customWidth="1"/>
    <col min="11014" max="11014" width="28.44140625" style="16" customWidth="1"/>
    <col min="11015" max="11264" width="9.109375" style="16"/>
    <col min="11265" max="11265" width="30.6640625" style="16" customWidth="1"/>
    <col min="11266" max="11266" width="27.109375" style="16" customWidth="1"/>
    <col min="11267" max="11267" width="20" style="16" customWidth="1"/>
    <col min="11268" max="11268" width="27.6640625" style="16" customWidth="1"/>
    <col min="11269" max="11269" width="19.88671875" style="16" customWidth="1"/>
    <col min="11270" max="11270" width="28.44140625" style="16" customWidth="1"/>
    <col min="11271" max="11520" width="9.109375" style="16"/>
    <col min="11521" max="11521" width="30.6640625" style="16" customWidth="1"/>
    <col min="11522" max="11522" width="27.109375" style="16" customWidth="1"/>
    <col min="11523" max="11523" width="20" style="16" customWidth="1"/>
    <col min="11524" max="11524" width="27.6640625" style="16" customWidth="1"/>
    <col min="11525" max="11525" width="19.88671875" style="16" customWidth="1"/>
    <col min="11526" max="11526" width="28.44140625" style="16" customWidth="1"/>
    <col min="11527" max="11776" width="9.109375" style="16"/>
    <col min="11777" max="11777" width="30.6640625" style="16" customWidth="1"/>
    <col min="11778" max="11778" width="27.109375" style="16" customWidth="1"/>
    <col min="11779" max="11779" width="20" style="16" customWidth="1"/>
    <col min="11780" max="11780" width="27.6640625" style="16" customWidth="1"/>
    <col min="11781" max="11781" width="19.88671875" style="16" customWidth="1"/>
    <col min="11782" max="11782" width="28.44140625" style="16" customWidth="1"/>
    <col min="11783" max="12032" width="9.109375" style="16"/>
    <col min="12033" max="12033" width="30.6640625" style="16" customWidth="1"/>
    <col min="12034" max="12034" width="27.109375" style="16" customWidth="1"/>
    <col min="12035" max="12035" width="20" style="16" customWidth="1"/>
    <col min="12036" max="12036" width="27.6640625" style="16" customWidth="1"/>
    <col min="12037" max="12037" width="19.88671875" style="16" customWidth="1"/>
    <col min="12038" max="12038" width="28.44140625" style="16" customWidth="1"/>
    <col min="12039" max="12288" width="9.109375" style="16"/>
    <col min="12289" max="12289" width="30.6640625" style="16" customWidth="1"/>
    <col min="12290" max="12290" width="27.109375" style="16" customWidth="1"/>
    <col min="12291" max="12291" width="20" style="16" customWidth="1"/>
    <col min="12292" max="12292" width="27.6640625" style="16" customWidth="1"/>
    <col min="12293" max="12293" width="19.88671875" style="16" customWidth="1"/>
    <col min="12294" max="12294" width="28.44140625" style="16" customWidth="1"/>
    <col min="12295" max="12544" width="9.109375" style="16"/>
    <col min="12545" max="12545" width="30.6640625" style="16" customWidth="1"/>
    <col min="12546" max="12546" width="27.109375" style="16" customWidth="1"/>
    <col min="12547" max="12547" width="20" style="16" customWidth="1"/>
    <col min="12548" max="12548" width="27.6640625" style="16" customWidth="1"/>
    <col min="12549" max="12549" width="19.88671875" style="16" customWidth="1"/>
    <col min="12550" max="12550" width="28.44140625" style="16" customWidth="1"/>
    <col min="12551" max="12800" width="9.109375" style="16"/>
    <col min="12801" max="12801" width="30.6640625" style="16" customWidth="1"/>
    <col min="12802" max="12802" width="27.109375" style="16" customWidth="1"/>
    <col min="12803" max="12803" width="20" style="16" customWidth="1"/>
    <col min="12804" max="12804" width="27.6640625" style="16" customWidth="1"/>
    <col min="12805" max="12805" width="19.88671875" style="16" customWidth="1"/>
    <col min="12806" max="12806" width="28.44140625" style="16" customWidth="1"/>
    <col min="12807" max="13056" width="9.109375" style="16"/>
    <col min="13057" max="13057" width="30.6640625" style="16" customWidth="1"/>
    <col min="13058" max="13058" width="27.109375" style="16" customWidth="1"/>
    <col min="13059" max="13059" width="20" style="16" customWidth="1"/>
    <col min="13060" max="13060" width="27.6640625" style="16" customWidth="1"/>
    <col min="13061" max="13061" width="19.88671875" style="16" customWidth="1"/>
    <col min="13062" max="13062" width="28.44140625" style="16" customWidth="1"/>
    <col min="13063" max="13312" width="9.109375" style="16"/>
    <col min="13313" max="13313" width="30.6640625" style="16" customWidth="1"/>
    <col min="13314" max="13314" width="27.109375" style="16" customWidth="1"/>
    <col min="13315" max="13315" width="20" style="16" customWidth="1"/>
    <col min="13316" max="13316" width="27.6640625" style="16" customWidth="1"/>
    <col min="13317" max="13317" width="19.88671875" style="16" customWidth="1"/>
    <col min="13318" max="13318" width="28.44140625" style="16" customWidth="1"/>
    <col min="13319" max="13568" width="9.109375" style="16"/>
    <col min="13569" max="13569" width="30.6640625" style="16" customWidth="1"/>
    <col min="13570" max="13570" width="27.109375" style="16" customWidth="1"/>
    <col min="13571" max="13571" width="20" style="16" customWidth="1"/>
    <col min="13572" max="13572" width="27.6640625" style="16" customWidth="1"/>
    <col min="13573" max="13573" width="19.88671875" style="16" customWidth="1"/>
    <col min="13574" max="13574" width="28.44140625" style="16" customWidth="1"/>
    <col min="13575" max="13824" width="9.109375" style="16"/>
    <col min="13825" max="13825" width="30.6640625" style="16" customWidth="1"/>
    <col min="13826" max="13826" width="27.109375" style="16" customWidth="1"/>
    <col min="13827" max="13827" width="20" style="16" customWidth="1"/>
    <col min="13828" max="13828" width="27.6640625" style="16" customWidth="1"/>
    <col min="13829" max="13829" width="19.88671875" style="16" customWidth="1"/>
    <col min="13830" max="13830" width="28.44140625" style="16" customWidth="1"/>
    <col min="13831" max="14080" width="9.109375" style="16"/>
    <col min="14081" max="14081" width="30.6640625" style="16" customWidth="1"/>
    <col min="14082" max="14082" width="27.109375" style="16" customWidth="1"/>
    <col min="14083" max="14083" width="20" style="16" customWidth="1"/>
    <col min="14084" max="14084" width="27.6640625" style="16" customWidth="1"/>
    <col min="14085" max="14085" width="19.88671875" style="16" customWidth="1"/>
    <col min="14086" max="14086" width="28.44140625" style="16" customWidth="1"/>
    <col min="14087" max="14336" width="9.109375" style="16"/>
    <col min="14337" max="14337" width="30.6640625" style="16" customWidth="1"/>
    <col min="14338" max="14338" width="27.109375" style="16" customWidth="1"/>
    <col min="14339" max="14339" width="20" style="16" customWidth="1"/>
    <col min="14340" max="14340" width="27.6640625" style="16" customWidth="1"/>
    <col min="14341" max="14341" width="19.88671875" style="16" customWidth="1"/>
    <col min="14342" max="14342" width="28.44140625" style="16" customWidth="1"/>
    <col min="14343" max="14592" width="9.109375" style="16"/>
    <col min="14593" max="14593" width="30.6640625" style="16" customWidth="1"/>
    <col min="14594" max="14594" width="27.109375" style="16" customWidth="1"/>
    <col min="14595" max="14595" width="20" style="16" customWidth="1"/>
    <col min="14596" max="14596" width="27.6640625" style="16" customWidth="1"/>
    <col min="14597" max="14597" width="19.88671875" style="16" customWidth="1"/>
    <col min="14598" max="14598" width="28.44140625" style="16" customWidth="1"/>
    <col min="14599" max="14848" width="9.109375" style="16"/>
    <col min="14849" max="14849" width="30.6640625" style="16" customWidth="1"/>
    <col min="14850" max="14850" width="27.109375" style="16" customWidth="1"/>
    <col min="14851" max="14851" width="20" style="16" customWidth="1"/>
    <col min="14852" max="14852" width="27.6640625" style="16" customWidth="1"/>
    <col min="14853" max="14853" width="19.88671875" style="16" customWidth="1"/>
    <col min="14854" max="14854" width="28.44140625" style="16" customWidth="1"/>
    <col min="14855" max="15104" width="9.109375" style="16"/>
    <col min="15105" max="15105" width="30.6640625" style="16" customWidth="1"/>
    <col min="15106" max="15106" width="27.109375" style="16" customWidth="1"/>
    <col min="15107" max="15107" width="20" style="16" customWidth="1"/>
    <col min="15108" max="15108" width="27.6640625" style="16" customWidth="1"/>
    <col min="15109" max="15109" width="19.88671875" style="16" customWidth="1"/>
    <col min="15110" max="15110" width="28.44140625" style="16" customWidth="1"/>
    <col min="15111" max="15360" width="9.109375" style="16"/>
    <col min="15361" max="15361" width="30.6640625" style="16" customWidth="1"/>
    <col min="15362" max="15362" width="27.109375" style="16" customWidth="1"/>
    <col min="15363" max="15363" width="20" style="16" customWidth="1"/>
    <col min="15364" max="15364" width="27.6640625" style="16" customWidth="1"/>
    <col min="15365" max="15365" width="19.88671875" style="16" customWidth="1"/>
    <col min="15366" max="15366" width="28.44140625" style="16" customWidth="1"/>
    <col min="15367" max="15616" width="9.109375" style="16"/>
    <col min="15617" max="15617" width="30.6640625" style="16" customWidth="1"/>
    <col min="15618" max="15618" width="27.109375" style="16" customWidth="1"/>
    <col min="15619" max="15619" width="20" style="16" customWidth="1"/>
    <col min="15620" max="15620" width="27.6640625" style="16" customWidth="1"/>
    <col min="15621" max="15621" width="19.88671875" style="16" customWidth="1"/>
    <col min="15622" max="15622" width="28.44140625" style="16" customWidth="1"/>
    <col min="15623" max="15872" width="9.109375" style="16"/>
    <col min="15873" max="15873" width="30.6640625" style="16" customWidth="1"/>
    <col min="15874" max="15874" width="27.109375" style="16" customWidth="1"/>
    <col min="15875" max="15875" width="20" style="16" customWidth="1"/>
    <col min="15876" max="15876" width="27.6640625" style="16" customWidth="1"/>
    <col min="15877" max="15877" width="19.88671875" style="16" customWidth="1"/>
    <col min="15878" max="15878" width="28.44140625" style="16" customWidth="1"/>
    <col min="15879" max="16128" width="9.109375" style="16"/>
    <col min="16129" max="16129" width="30.6640625" style="16" customWidth="1"/>
    <col min="16130" max="16130" width="27.109375" style="16" customWidth="1"/>
    <col min="16131" max="16131" width="20" style="16" customWidth="1"/>
    <col min="16132" max="16132" width="27.6640625" style="16" customWidth="1"/>
    <col min="16133" max="16133" width="19.88671875" style="16" customWidth="1"/>
    <col min="16134" max="16134" width="28.44140625" style="16" customWidth="1"/>
    <col min="16135" max="16384" width="9.109375" style="16"/>
  </cols>
  <sheetData>
    <row r="1" spans="1:10" ht="20.100000000000001" customHeight="1">
      <c r="A1" s="14"/>
      <c r="B1" s="1106" t="s">
        <v>117</v>
      </c>
      <c r="C1" s="1107"/>
      <c r="D1" s="1110" t="s">
        <v>118</v>
      </c>
      <c r="E1" s="1111"/>
      <c r="F1" s="15" t="s">
        <v>119</v>
      </c>
    </row>
    <row r="2" spans="1:10" ht="20.100000000000001" customHeight="1">
      <c r="A2" s="17"/>
      <c r="B2" s="1108"/>
      <c r="C2" s="1109"/>
      <c r="D2" s="1112" t="str">
        <f>'F1 Forecast Consultant'!D2:E2</f>
        <v>Routine Road Maintenance</v>
      </c>
      <c r="E2" s="1113"/>
      <c r="F2" s="18" t="s">
        <v>130</v>
      </c>
      <c r="H2" s="389"/>
    </row>
    <row r="3" spans="1:10" ht="20.100000000000001" customHeight="1">
      <c r="A3" s="17"/>
      <c r="B3" s="1114" t="s">
        <v>681</v>
      </c>
      <c r="C3" s="1116" t="str">
        <f>'F1 Forecast Consultant'!C3</f>
        <v>WESTERN</v>
      </c>
      <c r="D3" s="19" t="s">
        <v>121</v>
      </c>
      <c r="E3" s="430" t="str">
        <f>'F1 Forecast Consultant'!E3</f>
        <v>X.002-180-2024/1RF</v>
      </c>
      <c r="F3" s="57"/>
    </row>
    <row r="4" spans="1:10" ht="20.25" customHeight="1" thickBot="1">
      <c r="A4" s="20"/>
      <c r="B4" s="1115"/>
      <c r="C4" s="1117"/>
      <c r="D4" s="21" t="s">
        <v>122</v>
      </c>
      <c r="E4" s="22"/>
      <c r="F4" s="23"/>
    </row>
    <row r="5" spans="1:10" ht="20.100000000000001" customHeight="1">
      <c r="A5" s="1097" t="s">
        <v>419</v>
      </c>
      <c r="B5" s="1098"/>
      <c r="C5" s="1098"/>
      <c r="D5" s="1098"/>
      <c r="E5" s="1098"/>
      <c r="F5" s="1099"/>
    </row>
    <row r="6" spans="1:10" ht="20.100000000000001" customHeight="1">
      <c r="A6" s="1100"/>
      <c r="B6" s="1101"/>
      <c r="C6" s="1101"/>
      <c r="D6" s="1101"/>
      <c r="E6" s="1101"/>
      <c r="F6" s="1102"/>
    </row>
    <row r="7" spans="1:10" ht="20.100000000000001" customHeight="1" thickBot="1">
      <c r="A7" s="1103"/>
      <c r="B7" s="1104"/>
      <c r="C7" s="1104"/>
      <c r="D7" s="1104"/>
      <c r="E7" s="1104"/>
      <c r="F7" s="1105"/>
    </row>
    <row r="8" spans="1:10" ht="20.100000000000001" customHeight="1">
      <c r="A8" s="24" t="s">
        <v>123</v>
      </c>
      <c r="B8" s="398" t="str">
        <f>E3</f>
        <v>X.002-180-2024/1RF</v>
      </c>
      <c r="C8" s="399"/>
      <c r="D8" s="399"/>
      <c r="E8" s="399"/>
      <c r="F8" s="400"/>
    </row>
    <row r="9" spans="1:10" ht="20.100000000000001" customHeight="1">
      <c r="A9" s="1129" t="s">
        <v>124</v>
      </c>
      <c r="B9" s="1131" t="str">
        <f>'F1 Forecast Consultant'!B9:F10</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C9" s="1132"/>
      <c r="D9" s="1132"/>
      <c r="E9" s="1132"/>
      <c r="F9" s="1133"/>
    </row>
    <row r="10" spans="1:10" ht="18.75" customHeight="1">
      <c r="A10" s="1130"/>
      <c r="B10" s="1134"/>
      <c r="C10" s="1135"/>
      <c r="D10" s="1135"/>
      <c r="E10" s="1135"/>
      <c r="F10" s="1136"/>
    </row>
    <row r="11" spans="1:10" ht="20.100000000000001" customHeight="1">
      <c r="A11" s="25" t="s">
        <v>125</v>
      </c>
      <c r="B11" s="1137">
        <f>IF('F1 Forecast Consultant'!B11:C11="","",'F1 Forecast Consultant'!B11:C11)</f>
        <v>45433</v>
      </c>
      <c r="C11" s="1138"/>
      <c r="D11" s="27" t="s">
        <v>126</v>
      </c>
      <c r="E11" s="1139" t="str">
        <f>IF('F1 Forecast Consultant'!E11:F11="","",'F1 Forecast Consultant'!E11:F11)</f>
        <v/>
      </c>
      <c r="F11" s="1140"/>
    </row>
    <row r="12" spans="1:10" ht="20.100000000000001" customHeight="1">
      <c r="A12" s="26" t="s">
        <v>127</v>
      </c>
      <c r="B12" s="1141" t="str">
        <f>'F1 Forecast Consultant'!B12</f>
        <v/>
      </c>
      <c r="C12" s="1142"/>
      <c r="D12" s="1142"/>
      <c r="E12" s="1142"/>
      <c r="F12" s="1143"/>
    </row>
    <row r="13" spans="1:10" ht="20.100000000000001" customHeight="1">
      <c r="A13" s="27" t="s">
        <v>128</v>
      </c>
      <c r="B13" s="392">
        <f>'F1 Forecast Consultant'!B13</f>
        <v>25537475</v>
      </c>
      <c r="C13" s="397" t="s">
        <v>129</v>
      </c>
      <c r="D13" s="390"/>
      <c r="E13" s="390"/>
      <c r="F13" s="391"/>
    </row>
    <row r="14" spans="1:10" ht="20.100000000000001" customHeight="1">
      <c r="A14" s="26" t="s">
        <v>130</v>
      </c>
      <c r="B14" s="1159"/>
      <c r="C14" s="1160"/>
      <c r="D14" s="1161"/>
      <c r="E14" s="28"/>
      <c r="F14" s="29"/>
    </row>
    <row r="15" spans="1:10" ht="20.100000000000001" customHeight="1">
      <c r="A15" s="25" t="s">
        <v>125</v>
      </c>
      <c r="B15" s="1162"/>
      <c r="C15" s="1163"/>
      <c r="D15" s="27" t="s">
        <v>126</v>
      </c>
      <c r="E15" s="1157"/>
      <c r="F15" s="1158"/>
    </row>
    <row r="16" spans="1:10" ht="36" customHeight="1" thickBot="1">
      <c r="A16" s="30" t="s">
        <v>131</v>
      </c>
      <c r="B16" s="31">
        <f>E16+E16*('PROJECT INPUT DATA'!D9/100)</f>
        <v>0</v>
      </c>
      <c r="C16" s="32" t="s">
        <v>129</v>
      </c>
      <c r="D16" s="617" t="s">
        <v>470</v>
      </c>
      <c r="E16" s="1164">
        <f>'PROJECT INPUT DATA'!D15/(1+'PROJECT INPUT DATA'!D9/100)</f>
        <v>0</v>
      </c>
      <c r="F16" s="1165"/>
      <c r="J16" s="626"/>
    </row>
    <row r="17" spans="1:6" ht="16.5" customHeight="1">
      <c r="A17" s="1120" t="s">
        <v>132</v>
      </c>
      <c r="B17" s="1123" t="s">
        <v>133</v>
      </c>
      <c r="C17" s="1124"/>
      <c r="D17" s="1124"/>
      <c r="E17" s="1125"/>
      <c r="F17" s="33" t="s">
        <v>134</v>
      </c>
    </row>
    <row r="18" spans="1:6" ht="14.25" customHeight="1">
      <c r="A18" s="1121"/>
      <c r="B18" s="1126" t="s">
        <v>129</v>
      </c>
      <c r="C18" s="1127"/>
      <c r="D18" s="1127"/>
      <c r="E18" s="1128"/>
      <c r="F18" s="34" t="s">
        <v>129</v>
      </c>
    </row>
    <row r="19" spans="1:6" ht="16.5" customHeight="1" thickBot="1">
      <c r="A19" s="1122"/>
      <c r="B19" s="405" t="s">
        <v>135</v>
      </c>
      <c r="C19" s="406" t="s">
        <v>136</v>
      </c>
      <c r="D19" s="37" t="s">
        <v>137</v>
      </c>
      <c r="E19" s="36" t="s">
        <v>50</v>
      </c>
      <c r="F19" s="38"/>
    </row>
    <row r="20" spans="1:6" ht="20.100000000000001" customHeight="1">
      <c r="A20" s="39" t="e">
        <f>'F1 Forecast Combined'!A20</f>
        <v>#N/A</v>
      </c>
      <c r="B20" s="407"/>
      <c r="C20" s="408"/>
      <c r="D20" s="572"/>
      <c r="E20" s="41">
        <f t="shared" ref="E20:E31" si="0">SUM(D20:D20)</f>
        <v>0</v>
      </c>
      <c r="F20" s="43"/>
    </row>
    <row r="21" spans="1:6" ht="20.100000000000001" customHeight="1">
      <c r="A21" s="39" t="e">
        <f>'F1 Forecast Combined'!A21</f>
        <v>#N/A</v>
      </c>
      <c r="B21" s="407"/>
      <c r="C21" s="408"/>
      <c r="D21" s="572"/>
      <c r="E21" s="41">
        <f t="shared" si="0"/>
        <v>0</v>
      </c>
      <c r="F21" s="43"/>
    </row>
    <row r="22" spans="1:6" ht="20.100000000000001" customHeight="1">
      <c r="A22" s="39" t="e">
        <f>'F1 Forecast Combined'!A22</f>
        <v>#N/A</v>
      </c>
      <c r="B22" s="407"/>
      <c r="C22" s="408"/>
      <c r="D22" s="572"/>
      <c r="E22" s="41">
        <f t="shared" si="0"/>
        <v>0</v>
      </c>
      <c r="F22" s="43"/>
    </row>
    <row r="23" spans="1:6" ht="20.100000000000001" customHeight="1">
      <c r="A23" s="39" t="e">
        <f>'F1 Forecast Combined'!A23</f>
        <v>#N/A</v>
      </c>
      <c r="B23" s="407"/>
      <c r="C23" s="408"/>
      <c r="D23" s="572"/>
      <c r="E23" s="41">
        <f t="shared" si="0"/>
        <v>0</v>
      </c>
      <c r="F23" s="43"/>
    </row>
    <row r="24" spans="1:6" ht="20.100000000000001" customHeight="1">
      <c r="A24" s="39" t="e">
        <f>'F1 Forecast Combined'!A24</f>
        <v>#N/A</v>
      </c>
      <c r="B24" s="407"/>
      <c r="C24" s="408"/>
      <c r="D24" s="572"/>
      <c r="E24" s="41">
        <f t="shared" si="0"/>
        <v>0</v>
      </c>
      <c r="F24" s="43"/>
    </row>
    <row r="25" spans="1:6" ht="20.100000000000001" customHeight="1">
      <c r="A25" s="39" t="e">
        <f>'F1 Forecast Combined'!A25</f>
        <v>#N/A</v>
      </c>
      <c r="B25" s="407"/>
      <c r="C25" s="408"/>
      <c r="D25" s="572"/>
      <c r="E25" s="41">
        <f t="shared" si="0"/>
        <v>0</v>
      </c>
      <c r="F25" s="43"/>
    </row>
    <row r="26" spans="1:6" ht="20.100000000000001" customHeight="1">
      <c r="A26" s="39" t="e">
        <f>'F1 Forecast Combined'!A26</f>
        <v>#N/A</v>
      </c>
      <c r="B26" s="407"/>
      <c r="C26" s="408"/>
      <c r="D26" s="572"/>
      <c r="E26" s="41">
        <f t="shared" si="0"/>
        <v>0</v>
      </c>
      <c r="F26" s="43"/>
    </row>
    <row r="27" spans="1:6" ht="20.100000000000001" customHeight="1">
      <c r="A27" s="39" t="e">
        <f>'F1 Forecast Combined'!A27</f>
        <v>#N/A</v>
      </c>
      <c r="B27" s="409"/>
      <c r="C27" s="408"/>
      <c r="D27" s="572"/>
      <c r="E27" s="41">
        <f t="shared" si="0"/>
        <v>0</v>
      </c>
      <c r="F27" s="43"/>
    </row>
    <row r="28" spans="1:6" ht="20.100000000000001" customHeight="1">
      <c r="A28" s="39" t="e">
        <f>'F1 Forecast Combined'!A28</f>
        <v>#N/A</v>
      </c>
      <c r="B28" s="407"/>
      <c r="C28" s="408"/>
      <c r="D28" s="572"/>
      <c r="E28" s="41">
        <f t="shared" si="0"/>
        <v>0</v>
      </c>
      <c r="F28" s="43"/>
    </row>
    <row r="29" spans="1:6" ht="20.100000000000001" customHeight="1">
      <c r="A29" s="39" t="e">
        <f>'F1 Forecast Combined'!A29</f>
        <v>#N/A</v>
      </c>
      <c r="B29" s="407"/>
      <c r="C29" s="408"/>
      <c r="D29" s="572"/>
      <c r="E29" s="41">
        <f t="shared" si="0"/>
        <v>0</v>
      </c>
      <c r="F29" s="43"/>
    </row>
    <row r="30" spans="1:6" ht="20.100000000000001" customHeight="1">
      <c r="A30" s="39" t="e">
        <f>'F1 Forecast Combined'!A30</f>
        <v>#N/A</v>
      </c>
      <c r="B30" s="407"/>
      <c r="C30" s="408"/>
      <c r="D30" s="572"/>
      <c r="E30" s="41">
        <f t="shared" si="0"/>
        <v>0</v>
      </c>
      <c r="F30" s="43"/>
    </row>
    <row r="31" spans="1:6" ht="20.100000000000001" customHeight="1">
      <c r="A31" s="39" t="e">
        <f>'F1 Forecast Combined'!A31</f>
        <v>#N/A</v>
      </c>
      <c r="B31" s="407"/>
      <c r="C31" s="410"/>
      <c r="D31" s="572"/>
      <c r="E31" s="44">
        <f t="shared" si="0"/>
        <v>0</v>
      </c>
      <c r="F31" s="43"/>
    </row>
    <row r="32" spans="1:6" ht="20.100000000000001" customHeight="1" thickBot="1">
      <c r="A32" s="45" t="e">
        <f>'F1 Forecast Combined'!A32</f>
        <v>#N/A</v>
      </c>
      <c r="B32" s="402"/>
      <c r="C32" s="402"/>
      <c r="D32" s="46">
        <f>SUM(D20:D31)</f>
        <v>0</v>
      </c>
      <c r="E32" s="46">
        <f>SUM(E20:E31)</f>
        <v>0</v>
      </c>
      <c r="F32" s="47">
        <f>SUM(F20:F31)</f>
        <v>0</v>
      </c>
    </row>
    <row r="33" spans="1:6" ht="20.100000000000001" customHeight="1" thickTop="1">
      <c r="A33" s="39" t="e">
        <f>'F1 Forecast Combined'!A33</f>
        <v>#N/A</v>
      </c>
      <c r="B33" s="411"/>
      <c r="C33" s="412"/>
      <c r="D33" s="573"/>
      <c r="E33" s="48">
        <f t="shared" ref="E33:E44" si="1">SUM(D33:D33)</f>
        <v>0</v>
      </c>
      <c r="F33" s="43"/>
    </row>
    <row r="34" spans="1:6" ht="20.100000000000001" customHeight="1">
      <c r="A34" s="39" t="e">
        <f>'F1 Forecast Combined'!A34</f>
        <v>#N/A</v>
      </c>
      <c r="B34" s="411"/>
      <c r="C34" s="408"/>
      <c r="D34" s="573"/>
      <c r="E34" s="48">
        <f t="shared" si="1"/>
        <v>0</v>
      </c>
      <c r="F34" s="43"/>
    </row>
    <row r="35" spans="1:6" ht="20.100000000000001" customHeight="1">
      <c r="A35" s="39" t="e">
        <f>'F1 Forecast Combined'!A35</f>
        <v>#N/A</v>
      </c>
      <c r="B35" s="411"/>
      <c r="C35" s="412"/>
      <c r="D35" s="573"/>
      <c r="E35" s="48">
        <f t="shared" si="1"/>
        <v>0</v>
      </c>
      <c r="F35" s="43"/>
    </row>
    <row r="36" spans="1:6" ht="20.100000000000001" customHeight="1">
      <c r="A36" s="39" t="e">
        <f>'F1 Forecast Combined'!A36</f>
        <v>#N/A</v>
      </c>
      <c r="B36" s="411"/>
      <c r="C36" s="408"/>
      <c r="D36" s="573"/>
      <c r="E36" s="48">
        <f t="shared" si="1"/>
        <v>0</v>
      </c>
      <c r="F36" s="43"/>
    </row>
    <row r="37" spans="1:6" ht="20.100000000000001" customHeight="1">
      <c r="A37" s="39" t="e">
        <f>'F1 Forecast Combined'!A37</f>
        <v>#N/A</v>
      </c>
      <c r="B37" s="411"/>
      <c r="C37" s="408"/>
      <c r="D37" s="573"/>
      <c r="E37" s="48">
        <f t="shared" si="1"/>
        <v>0</v>
      </c>
      <c r="F37" s="43"/>
    </row>
    <row r="38" spans="1:6" ht="20.100000000000001" customHeight="1">
      <c r="A38" s="39" t="e">
        <f>'F1 Forecast Combined'!A38</f>
        <v>#N/A</v>
      </c>
      <c r="B38" s="411"/>
      <c r="C38" s="408"/>
      <c r="D38" s="573"/>
      <c r="E38" s="48">
        <f t="shared" si="1"/>
        <v>0</v>
      </c>
      <c r="F38" s="43"/>
    </row>
    <row r="39" spans="1:6" ht="20.100000000000001" customHeight="1">
      <c r="A39" s="39" t="e">
        <f>'F1 Forecast Combined'!A39</f>
        <v>#N/A</v>
      </c>
      <c r="B39" s="411"/>
      <c r="C39" s="408"/>
      <c r="D39" s="573"/>
      <c r="E39" s="48">
        <f t="shared" si="1"/>
        <v>0</v>
      </c>
      <c r="F39" s="43"/>
    </row>
    <row r="40" spans="1:6" ht="20.100000000000001" customHeight="1">
      <c r="A40" s="39" t="e">
        <f>'F1 Forecast Combined'!A40</f>
        <v>#N/A</v>
      </c>
      <c r="B40" s="411"/>
      <c r="C40" s="408"/>
      <c r="D40" s="573"/>
      <c r="E40" s="48">
        <f t="shared" si="1"/>
        <v>0</v>
      </c>
      <c r="F40" s="43"/>
    </row>
    <row r="41" spans="1:6" ht="20.100000000000001" customHeight="1">
      <c r="A41" s="39" t="e">
        <f>'F1 Forecast Combined'!A41</f>
        <v>#N/A</v>
      </c>
      <c r="B41" s="411"/>
      <c r="C41" s="408"/>
      <c r="D41" s="573"/>
      <c r="E41" s="48">
        <f t="shared" si="1"/>
        <v>0</v>
      </c>
      <c r="F41" s="43"/>
    </row>
    <row r="42" spans="1:6" ht="20.100000000000001" customHeight="1">
      <c r="A42" s="39" t="e">
        <f>'F1 Forecast Combined'!A42</f>
        <v>#N/A</v>
      </c>
      <c r="B42" s="411"/>
      <c r="C42" s="408"/>
      <c r="D42" s="573"/>
      <c r="E42" s="48">
        <f t="shared" si="1"/>
        <v>0</v>
      </c>
      <c r="F42" s="43"/>
    </row>
    <row r="43" spans="1:6" ht="20.100000000000001" customHeight="1">
      <c r="A43" s="39" t="e">
        <f>'F1 Forecast Combined'!A43</f>
        <v>#N/A</v>
      </c>
      <c r="B43" s="411"/>
      <c r="C43" s="408"/>
      <c r="D43" s="573"/>
      <c r="E43" s="48">
        <f t="shared" si="1"/>
        <v>0</v>
      </c>
      <c r="F43" s="43"/>
    </row>
    <row r="44" spans="1:6" ht="20.100000000000001" customHeight="1">
      <c r="A44" s="39" t="e">
        <f>'F1 Forecast Combined'!A44</f>
        <v>#N/A</v>
      </c>
      <c r="B44" s="411"/>
      <c r="C44" s="408"/>
      <c r="D44" s="573"/>
      <c r="E44" s="48">
        <f t="shared" si="1"/>
        <v>0</v>
      </c>
      <c r="F44" s="43"/>
    </row>
    <row r="45" spans="1:6" ht="20.100000000000001" customHeight="1" thickBot="1">
      <c r="A45" s="49" t="e">
        <f>'F1 Forecast Combined'!A45</f>
        <v>#N/A</v>
      </c>
      <c r="B45" s="403"/>
      <c r="C45" s="403"/>
      <c r="D45" s="50">
        <f>SUM(D33:D44)</f>
        <v>0</v>
      </c>
      <c r="E45" s="50">
        <f>SUM(E33:E44)</f>
        <v>0</v>
      </c>
      <c r="F45" s="51">
        <f>SUM(F33:F44)</f>
        <v>0</v>
      </c>
    </row>
    <row r="46" spans="1:6" ht="20.100000000000001" customHeight="1" thickTop="1">
      <c r="A46" s="39" t="e">
        <f>'F1 Forecast Combined'!A46</f>
        <v>#N/A</v>
      </c>
      <c r="B46" s="411"/>
      <c r="C46" s="408"/>
      <c r="D46" s="573"/>
      <c r="E46" s="48">
        <f t="shared" ref="E46:E57" si="2">SUM(D46:D46)</f>
        <v>0</v>
      </c>
      <c r="F46" s="43"/>
    </row>
    <row r="47" spans="1:6" ht="20.100000000000001" customHeight="1">
      <c r="A47" s="39" t="e">
        <f>'F1 Forecast Combined'!A47</f>
        <v>#N/A</v>
      </c>
      <c r="B47" s="411"/>
      <c r="C47" s="408"/>
      <c r="D47" s="573"/>
      <c r="E47" s="48">
        <f t="shared" si="2"/>
        <v>0</v>
      </c>
      <c r="F47" s="43"/>
    </row>
    <row r="48" spans="1:6" ht="20.100000000000001" customHeight="1">
      <c r="A48" s="39" t="e">
        <f>'F1 Forecast Combined'!A48</f>
        <v>#N/A</v>
      </c>
      <c r="B48" s="411"/>
      <c r="C48" s="412"/>
      <c r="D48" s="573"/>
      <c r="E48" s="48">
        <f t="shared" si="2"/>
        <v>0</v>
      </c>
      <c r="F48" s="43"/>
    </row>
    <row r="49" spans="1:6" ht="20.100000000000001" customHeight="1">
      <c r="A49" s="39" t="e">
        <f>'F1 Forecast Combined'!A49</f>
        <v>#N/A</v>
      </c>
      <c r="B49" s="411"/>
      <c r="C49" s="412"/>
      <c r="D49" s="573"/>
      <c r="E49" s="48">
        <f t="shared" si="2"/>
        <v>0</v>
      </c>
      <c r="F49" s="43"/>
    </row>
    <row r="50" spans="1:6" ht="20.100000000000001" customHeight="1">
      <c r="A50" s="39" t="e">
        <f>'F1 Forecast Combined'!A50</f>
        <v>#N/A</v>
      </c>
      <c r="B50" s="411"/>
      <c r="C50" s="412"/>
      <c r="D50" s="573"/>
      <c r="E50" s="48">
        <f t="shared" si="2"/>
        <v>0</v>
      </c>
      <c r="F50" s="43"/>
    </row>
    <row r="51" spans="1:6" ht="20.100000000000001" customHeight="1">
      <c r="A51" s="39" t="e">
        <f>'F1 Forecast Combined'!A51</f>
        <v>#N/A</v>
      </c>
      <c r="B51" s="411"/>
      <c r="C51" s="412"/>
      <c r="D51" s="573"/>
      <c r="E51" s="48">
        <f t="shared" si="2"/>
        <v>0</v>
      </c>
      <c r="F51" s="43"/>
    </row>
    <row r="52" spans="1:6" ht="20.100000000000001" customHeight="1">
      <c r="A52" s="39" t="e">
        <f>'F1 Forecast Combined'!A52</f>
        <v>#N/A</v>
      </c>
      <c r="B52" s="411"/>
      <c r="C52" s="412"/>
      <c r="D52" s="573"/>
      <c r="E52" s="48">
        <f t="shared" si="2"/>
        <v>0</v>
      </c>
      <c r="F52" s="43"/>
    </row>
    <row r="53" spans="1:6" ht="20.100000000000001" customHeight="1">
      <c r="A53" s="39" t="e">
        <f>'F1 Forecast Combined'!A53</f>
        <v>#N/A</v>
      </c>
      <c r="B53" s="411"/>
      <c r="C53" s="412"/>
      <c r="D53" s="573"/>
      <c r="E53" s="48">
        <f t="shared" si="2"/>
        <v>0</v>
      </c>
      <c r="F53" s="43"/>
    </row>
    <row r="54" spans="1:6" ht="20.100000000000001" customHeight="1">
      <c r="A54" s="39" t="e">
        <f>'F1 Forecast Combined'!A54</f>
        <v>#N/A</v>
      </c>
      <c r="B54" s="411"/>
      <c r="C54" s="412"/>
      <c r="D54" s="573"/>
      <c r="E54" s="48">
        <f t="shared" si="2"/>
        <v>0</v>
      </c>
      <c r="F54" s="43"/>
    </row>
    <row r="55" spans="1:6" ht="20.100000000000001" customHeight="1">
      <c r="A55" s="39" t="e">
        <f>'F1 Forecast Combined'!A55</f>
        <v>#N/A</v>
      </c>
      <c r="B55" s="411"/>
      <c r="C55" s="412"/>
      <c r="D55" s="573"/>
      <c r="E55" s="48">
        <f t="shared" si="2"/>
        <v>0</v>
      </c>
      <c r="F55" s="43"/>
    </row>
    <row r="56" spans="1:6" ht="20.100000000000001" customHeight="1">
      <c r="A56" s="39" t="e">
        <f>'F1 Forecast Combined'!A56</f>
        <v>#N/A</v>
      </c>
      <c r="B56" s="411"/>
      <c r="C56" s="412"/>
      <c r="D56" s="573"/>
      <c r="E56" s="48">
        <f t="shared" si="2"/>
        <v>0</v>
      </c>
      <c r="F56" s="43"/>
    </row>
    <row r="57" spans="1:6" ht="20.100000000000001" customHeight="1">
      <c r="A57" s="39" t="e">
        <f>'F1 Forecast Combined'!A57</f>
        <v>#N/A</v>
      </c>
      <c r="B57" s="411"/>
      <c r="C57" s="412"/>
      <c r="D57" s="573"/>
      <c r="E57" s="48">
        <f t="shared" si="2"/>
        <v>0</v>
      </c>
      <c r="F57" s="43"/>
    </row>
    <row r="58" spans="1:6" ht="20.100000000000001" customHeight="1" thickBot="1">
      <c r="A58" s="49" t="e">
        <f>'F1 Forecast Combined'!A58</f>
        <v>#N/A</v>
      </c>
      <c r="B58" s="403"/>
      <c r="C58" s="403"/>
      <c r="D58" s="50">
        <f>SUM(D46:D57)</f>
        <v>0</v>
      </c>
      <c r="E58" s="50">
        <f>SUM(E46:E57)</f>
        <v>0</v>
      </c>
      <c r="F58" s="51">
        <f>SUM(F46:F57)</f>
        <v>0</v>
      </c>
    </row>
    <row r="59" spans="1:6" ht="20.100000000000001" customHeight="1" thickTop="1" thickBot="1">
      <c r="A59" s="52" t="s">
        <v>141</v>
      </c>
      <c r="B59" s="404"/>
      <c r="C59" s="404"/>
      <c r="D59" s="53">
        <f>+D32+D45+D58</f>
        <v>0</v>
      </c>
      <c r="E59" s="53">
        <f>+E32+E45+E58</f>
        <v>0</v>
      </c>
      <c r="F59" s="54">
        <f>+F32+F45+F58</f>
        <v>0</v>
      </c>
    </row>
    <row r="60" spans="1:6" ht="20.100000000000001" customHeight="1">
      <c r="A60" s="55" t="s">
        <v>142</v>
      </c>
      <c r="B60" s="55" t="s">
        <v>143</v>
      </c>
    </row>
    <row r="62" spans="1:6" ht="20.100000000000001" customHeight="1">
      <c r="C62" s="56"/>
    </row>
    <row r="63" spans="1:6" ht="20.100000000000001" customHeight="1" thickBot="1"/>
    <row r="64" spans="1:6" ht="20.100000000000001" customHeight="1">
      <c r="A64" s="14"/>
      <c r="B64" s="1106" t="s">
        <v>117</v>
      </c>
      <c r="C64" s="1107"/>
      <c r="D64" s="1110" t="s">
        <v>118</v>
      </c>
      <c r="E64" s="1111"/>
      <c r="F64" s="15" t="s">
        <v>119</v>
      </c>
    </row>
    <row r="65" spans="1:6" ht="20.100000000000001" customHeight="1">
      <c r="A65" s="17"/>
      <c r="B65" s="1108"/>
      <c r="C65" s="1109"/>
      <c r="D65" s="1112" t="str">
        <f>D2</f>
        <v>Routine Road Maintenance</v>
      </c>
      <c r="E65" s="1113"/>
      <c r="F65" s="18" t="s">
        <v>130</v>
      </c>
    </row>
    <row r="66" spans="1:6" ht="20.100000000000001" customHeight="1">
      <c r="A66" s="17"/>
      <c r="B66" s="1114" t="s">
        <v>120</v>
      </c>
      <c r="C66" s="1116" t="str">
        <f>C3</f>
        <v>WESTERN</v>
      </c>
      <c r="D66" s="19" t="s">
        <v>121</v>
      </c>
      <c r="E66" s="430" t="str">
        <f>E3</f>
        <v>X.002-180-2024/1RF</v>
      </c>
      <c r="F66" s="57"/>
    </row>
    <row r="67" spans="1:6" ht="20.100000000000001" customHeight="1" thickBot="1">
      <c r="A67" s="20"/>
      <c r="B67" s="1115"/>
      <c r="C67" s="1117"/>
      <c r="D67" s="21" t="s">
        <v>122</v>
      </c>
      <c r="E67" s="574">
        <f>E4</f>
        <v>0</v>
      </c>
      <c r="F67" s="23"/>
    </row>
    <row r="68" spans="1:6" ht="20.100000000000001" customHeight="1">
      <c r="A68" s="1097" t="s">
        <v>418</v>
      </c>
      <c r="B68" s="1098"/>
      <c r="C68" s="1098"/>
      <c r="D68" s="1098"/>
      <c r="E68" s="1098"/>
      <c r="F68" s="1099"/>
    </row>
    <row r="69" spans="1:6" ht="20.100000000000001" customHeight="1">
      <c r="A69" s="1100"/>
      <c r="B69" s="1101"/>
      <c r="C69" s="1101"/>
      <c r="D69" s="1101"/>
      <c r="E69" s="1101"/>
      <c r="F69" s="1102"/>
    </row>
    <row r="70" spans="1:6" ht="20.100000000000001" customHeight="1" thickBot="1">
      <c r="A70" s="1103"/>
      <c r="B70" s="1104"/>
      <c r="C70" s="1104"/>
      <c r="D70" s="1104"/>
      <c r="E70" s="1104"/>
      <c r="F70" s="1105"/>
    </row>
    <row r="71" spans="1:6" ht="20.100000000000001" customHeight="1">
      <c r="A71" s="24" t="s">
        <v>123</v>
      </c>
      <c r="B71" s="398" t="str">
        <f>E66</f>
        <v>X.002-180-2024/1RF</v>
      </c>
      <c r="C71" s="399"/>
      <c r="D71" s="399"/>
      <c r="E71" s="399"/>
      <c r="F71" s="400"/>
    </row>
    <row r="72" spans="1:6" ht="20.100000000000001" customHeight="1">
      <c r="A72" s="1129" t="s">
        <v>124</v>
      </c>
      <c r="B72" s="1131" t="str">
        <f>B9</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C72" s="1132"/>
      <c r="D72" s="1132"/>
      <c r="E72" s="1132"/>
      <c r="F72" s="1133"/>
    </row>
    <row r="73" spans="1:6" ht="20.100000000000001" customHeight="1">
      <c r="A73" s="1130"/>
      <c r="B73" s="1134"/>
      <c r="C73" s="1135"/>
      <c r="D73" s="1135"/>
      <c r="E73" s="1135"/>
      <c r="F73" s="1136"/>
    </row>
    <row r="74" spans="1:6" ht="20.100000000000001" customHeight="1">
      <c r="A74" s="25" t="s">
        <v>125</v>
      </c>
      <c r="B74" s="1137">
        <f t="shared" ref="B74:B79" si="3">B11</f>
        <v>45433</v>
      </c>
      <c r="C74" s="1138"/>
      <c r="D74" s="27" t="s">
        <v>126</v>
      </c>
      <c r="E74" s="1139" t="str">
        <f>E11</f>
        <v/>
      </c>
      <c r="F74" s="1140"/>
    </row>
    <row r="75" spans="1:6" ht="20.100000000000001" customHeight="1">
      <c r="A75" s="26" t="s">
        <v>127</v>
      </c>
      <c r="B75" s="1141" t="str">
        <f t="shared" si="3"/>
        <v/>
      </c>
      <c r="C75" s="1142"/>
      <c r="D75" s="1142"/>
      <c r="E75" s="1142"/>
      <c r="F75" s="1143"/>
    </row>
    <row r="76" spans="1:6" ht="20.100000000000001" customHeight="1">
      <c r="A76" s="27" t="s">
        <v>128</v>
      </c>
      <c r="B76" s="392">
        <f t="shared" si="3"/>
        <v>25537475</v>
      </c>
      <c r="C76" s="397" t="s">
        <v>129</v>
      </c>
      <c r="D76" s="390"/>
      <c r="E76" s="390"/>
      <c r="F76" s="391"/>
    </row>
    <row r="77" spans="1:6" ht="20.100000000000001" customHeight="1">
      <c r="A77" s="26" t="s">
        <v>130</v>
      </c>
      <c r="B77" s="1144">
        <f t="shared" si="3"/>
        <v>0</v>
      </c>
      <c r="C77" s="1145"/>
      <c r="D77" s="1146"/>
      <c r="E77" s="390"/>
      <c r="F77" s="391"/>
    </row>
    <row r="78" spans="1:6" ht="20.100000000000001" customHeight="1">
      <c r="A78" s="25" t="s">
        <v>125</v>
      </c>
      <c r="B78" s="1151">
        <f t="shared" si="3"/>
        <v>0</v>
      </c>
      <c r="C78" s="1152"/>
      <c r="D78" s="27" t="s">
        <v>126</v>
      </c>
      <c r="E78" s="1118">
        <f>E15</f>
        <v>0</v>
      </c>
      <c r="F78" s="1119"/>
    </row>
    <row r="79" spans="1:6" ht="36.75" customHeight="1" thickBot="1">
      <c r="A79" s="30" t="s">
        <v>131</v>
      </c>
      <c r="B79" s="393">
        <f t="shared" si="3"/>
        <v>0</v>
      </c>
      <c r="C79" s="394" t="s">
        <v>129</v>
      </c>
      <c r="D79" s="390"/>
      <c r="E79" s="395"/>
      <c r="F79" s="396"/>
    </row>
    <row r="80" spans="1:6" ht="20.100000000000001" customHeight="1">
      <c r="A80" s="1120" t="s">
        <v>132</v>
      </c>
      <c r="B80" s="1123" t="s">
        <v>133</v>
      </c>
      <c r="C80" s="1124"/>
      <c r="D80" s="1124"/>
      <c r="E80" s="1125"/>
      <c r="F80" s="33" t="s">
        <v>134</v>
      </c>
    </row>
    <row r="81" spans="1:6" ht="20.100000000000001" customHeight="1">
      <c r="A81" s="1121"/>
      <c r="B81" s="1126" t="s">
        <v>129</v>
      </c>
      <c r="C81" s="1127"/>
      <c r="D81" s="1127"/>
      <c r="E81" s="1128"/>
      <c r="F81" s="34" t="s">
        <v>129</v>
      </c>
    </row>
    <row r="82" spans="1:6" ht="20.100000000000001" customHeight="1" thickBot="1">
      <c r="A82" s="1122"/>
      <c r="B82" s="405" t="s">
        <v>135</v>
      </c>
      <c r="C82" s="406" t="s">
        <v>136</v>
      </c>
      <c r="D82" s="37" t="s">
        <v>137</v>
      </c>
      <c r="E82" s="36" t="s">
        <v>50</v>
      </c>
      <c r="F82" s="38"/>
    </row>
    <row r="83" spans="1:6" ht="20.100000000000001" customHeight="1" thickBot="1">
      <c r="A83" s="575" t="str">
        <f>'F1 Forecast Combined'!A83</f>
        <v>Brought Forward</v>
      </c>
      <c r="B83" s="576"/>
      <c r="C83" s="577"/>
      <c r="D83" s="578">
        <f>D59</f>
        <v>0</v>
      </c>
      <c r="E83" s="579">
        <f>E59</f>
        <v>0</v>
      </c>
      <c r="F83" s="47">
        <f>F59</f>
        <v>0</v>
      </c>
    </row>
    <row r="84" spans="1:6" ht="20.100000000000001" customHeight="1" thickTop="1">
      <c r="A84" s="39" t="e">
        <f>'F1 Forecast Combined'!A84</f>
        <v>#N/A</v>
      </c>
      <c r="B84" s="407"/>
      <c r="C84" s="408"/>
      <c r="D84" s="572"/>
      <c r="E84" s="41">
        <f t="shared" ref="E84:E95" si="4">SUM(D84:D84)</f>
        <v>0</v>
      </c>
      <c r="F84" s="43"/>
    </row>
    <row r="85" spans="1:6" ht="20.100000000000001" customHeight="1">
      <c r="A85" s="39" t="e">
        <f>'F1 Forecast Combined'!A85</f>
        <v>#N/A</v>
      </c>
      <c r="B85" s="407"/>
      <c r="C85" s="408"/>
      <c r="D85" s="572"/>
      <c r="E85" s="41">
        <f t="shared" si="4"/>
        <v>0</v>
      </c>
      <c r="F85" s="43"/>
    </row>
    <row r="86" spans="1:6" ht="20.100000000000001" customHeight="1">
      <c r="A86" s="39" t="e">
        <f>'F1 Forecast Combined'!A86</f>
        <v>#N/A</v>
      </c>
      <c r="B86" s="407"/>
      <c r="C86" s="408"/>
      <c r="D86" s="572"/>
      <c r="E86" s="41">
        <f t="shared" si="4"/>
        <v>0</v>
      </c>
      <c r="F86" s="43"/>
    </row>
    <row r="87" spans="1:6" ht="20.100000000000001" customHeight="1">
      <c r="A87" s="39" t="e">
        <f>'F1 Forecast Combined'!A87</f>
        <v>#N/A</v>
      </c>
      <c r="B87" s="407"/>
      <c r="C87" s="408"/>
      <c r="D87" s="572"/>
      <c r="E87" s="41">
        <f t="shared" si="4"/>
        <v>0</v>
      </c>
      <c r="F87" s="43"/>
    </row>
    <row r="88" spans="1:6" ht="20.100000000000001" customHeight="1">
      <c r="A88" s="39" t="e">
        <f>'F1 Forecast Combined'!A88</f>
        <v>#N/A</v>
      </c>
      <c r="B88" s="407"/>
      <c r="C88" s="408"/>
      <c r="D88" s="572"/>
      <c r="E88" s="41">
        <f t="shared" si="4"/>
        <v>0</v>
      </c>
      <c r="F88" s="43"/>
    </row>
    <row r="89" spans="1:6" ht="20.100000000000001" customHeight="1">
      <c r="A89" s="39" t="e">
        <f>'F1 Forecast Combined'!A89</f>
        <v>#N/A</v>
      </c>
      <c r="B89" s="407"/>
      <c r="C89" s="408"/>
      <c r="D89" s="572"/>
      <c r="E89" s="41">
        <f t="shared" si="4"/>
        <v>0</v>
      </c>
      <c r="F89" s="43"/>
    </row>
    <row r="90" spans="1:6" ht="20.100000000000001" customHeight="1">
      <c r="A90" s="39" t="e">
        <f>'F1 Forecast Combined'!A90</f>
        <v>#N/A</v>
      </c>
      <c r="B90" s="407"/>
      <c r="C90" s="408"/>
      <c r="D90" s="572"/>
      <c r="E90" s="41">
        <f t="shared" si="4"/>
        <v>0</v>
      </c>
      <c r="F90" s="43"/>
    </row>
    <row r="91" spans="1:6" ht="20.100000000000001" customHeight="1">
      <c r="A91" s="39" t="e">
        <f>'F1 Forecast Combined'!A91</f>
        <v>#N/A</v>
      </c>
      <c r="B91" s="409"/>
      <c r="C91" s="408"/>
      <c r="D91" s="572"/>
      <c r="E91" s="41">
        <f t="shared" si="4"/>
        <v>0</v>
      </c>
      <c r="F91" s="43"/>
    </row>
    <row r="92" spans="1:6" ht="20.100000000000001" customHeight="1">
      <c r="A92" s="39" t="e">
        <f>'F1 Forecast Combined'!A92</f>
        <v>#N/A</v>
      </c>
      <c r="B92" s="407"/>
      <c r="C92" s="408"/>
      <c r="D92" s="572"/>
      <c r="E92" s="41">
        <f t="shared" si="4"/>
        <v>0</v>
      </c>
      <c r="F92" s="43"/>
    </row>
    <row r="93" spans="1:6" ht="20.100000000000001" customHeight="1">
      <c r="A93" s="39" t="e">
        <f>'F1 Forecast Combined'!A93</f>
        <v>#N/A</v>
      </c>
      <c r="B93" s="407"/>
      <c r="C93" s="408"/>
      <c r="D93" s="572"/>
      <c r="E93" s="41">
        <f t="shared" si="4"/>
        <v>0</v>
      </c>
      <c r="F93" s="43"/>
    </row>
    <row r="94" spans="1:6" ht="20.100000000000001" customHeight="1">
      <c r="A94" s="39" t="e">
        <f>'F1 Forecast Combined'!A94</f>
        <v>#N/A</v>
      </c>
      <c r="B94" s="407"/>
      <c r="C94" s="408"/>
      <c r="D94" s="572"/>
      <c r="E94" s="41">
        <f t="shared" si="4"/>
        <v>0</v>
      </c>
      <c r="F94" s="43"/>
    </row>
    <row r="95" spans="1:6" ht="20.100000000000001" customHeight="1">
      <c r="A95" s="39" t="e">
        <f>'F1 Forecast Combined'!A95</f>
        <v>#N/A</v>
      </c>
      <c r="B95" s="407"/>
      <c r="C95" s="410"/>
      <c r="D95" s="572"/>
      <c r="E95" s="44">
        <f t="shared" si="4"/>
        <v>0</v>
      </c>
      <c r="F95" s="43"/>
    </row>
    <row r="96" spans="1:6" ht="20.100000000000001" customHeight="1" thickBot="1">
      <c r="A96" s="556" t="e">
        <f>'F1 Forecast Combined'!A96</f>
        <v>#N/A</v>
      </c>
      <c r="B96" s="402"/>
      <c r="C96" s="402"/>
      <c r="D96" s="46">
        <f>SUM(D84:D95)</f>
        <v>0</v>
      </c>
      <c r="E96" s="46">
        <f>SUM(E84:E95)</f>
        <v>0</v>
      </c>
      <c r="F96" s="47">
        <f>SUM(F84:F95)</f>
        <v>0</v>
      </c>
    </row>
    <row r="97" spans="1:6" ht="20.100000000000001" customHeight="1" thickTop="1">
      <c r="A97" s="39" t="e">
        <f>'F1 Forecast Combined'!A97</f>
        <v>#N/A</v>
      </c>
      <c r="B97" s="411"/>
      <c r="C97" s="412"/>
      <c r="D97" s="573"/>
      <c r="E97" s="48">
        <f t="shared" ref="E97:E108" si="5">SUM(D97:D97)</f>
        <v>0</v>
      </c>
      <c r="F97" s="43"/>
    </row>
    <row r="98" spans="1:6" ht="20.100000000000001" customHeight="1">
      <c r="A98" s="39" t="e">
        <f>'F1 Forecast Combined'!A98</f>
        <v>#N/A</v>
      </c>
      <c r="B98" s="411"/>
      <c r="C98" s="408"/>
      <c r="D98" s="573"/>
      <c r="E98" s="48">
        <f t="shared" si="5"/>
        <v>0</v>
      </c>
      <c r="F98" s="43"/>
    </row>
    <row r="99" spans="1:6" ht="20.100000000000001" customHeight="1">
      <c r="A99" s="39" t="e">
        <f>'F1 Forecast Combined'!A99</f>
        <v>#N/A</v>
      </c>
      <c r="B99" s="411"/>
      <c r="C99" s="412"/>
      <c r="D99" s="573"/>
      <c r="E99" s="48">
        <f t="shared" si="5"/>
        <v>0</v>
      </c>
      <c r="F99" s="43"/>
    </row>
    <row r="100" spans="1:6" ht="20.100000000000001" customHeight="1">
      <c r="A100" s="39" t="e">
        <f>'F1 Forecast Combined'!A100</f>
        <v>#N/A</v>
      </c>
      <c r="B100" s="411"/>
      <c r="C100" s="408"/>
      <c r="D100" s="573"/>
      <c r="E100" s="48">
        <f t="shared" si="5"/>
        <v>0</v>
      </c>
      <c r="F100" s="43"/>
    </row>
    <row r="101" spans="1:6" ht="20.100000000000001" customHeight="1">
      <c r="A101" s="39" t="e">
        <f>'F1 Forecast Combined'!A101</f>
        <v>#N/A</v>
      </c>
      <c r="B101" s="411"/>
      <c r="C101" s="408"/>
      <c r="D101" s="573"/>
      <c r="E101" s="48">
        <f t="shared" si="5"/>
        <v>0</v>
      </c>
      <c r="F101" s="43"/>
    </row>
    <row r="102" spans="1:6" ht="20.100000000000001" customHeight="1">
      <c r="A102" s="39" t="e">
        <f>'F1 Forecast Combined'!A102</f>
        <v>#N/A</v>
      </c>
      <c r="B102" s="411"/>
      <c r="C102" s="408"/>
      <c r="D102" s="573"/>
      <c r="E102" s="48">
        <f t="shared" si="5"/>
        <v>0</v>
      </c>
      <c r="F102" s="43"/>
    </row>
    <row r="103" spans="1:6" ht="20.100000000000001" customHeight="1">
      <c r="A103" s="39" t="e">
        <f>'F1 Forecast Combined'!A103</f>
        <v>#N/A</v>
      </c>
      <c r="B103" s="411"/>
      <c r="C103" s="408"/>
      <c r="D103" s="573"/>
      <c r="E103" s="48">
        <f t="shared" si="5"/>
        <v>0</v>
      </c>
      <c r="F103" s="43"/>
    </row>
    <row r="104" spans="1:6" ht="20.100000000000001" customHeight="1">
      <c r="A104" s="39" t="e">
        <f>'F1 Forecast Combined'!A104</f>
        <v>#N/A</v>
      </c>
      <c r="B104" s="411"/>
      <c r="C104" s="408"/>
      <c r="D104" s="573"/>
      <c r="E104" s="48">
        <f t="shared" si="5"/>
        <v>0</v>
      </c>
      <c r="F104" s="43"/>
    </row>
    <row r="105" spans="1:6" ht="20.100000000000001" customHeight="1">
      <c r="A105" s="39" t="e">
        <f>'F1 Forecast Combined'!A105</f>
        <v>#N/A</v>
      </c>
      <c r="B105" s="411"/>
      <c r="C105" s="408"/>
      <c r="D105" s="573"/>
      <c r="E105" s="48">
        <f t="shared" si="5"/>
        <v>0</v>
      </c>
      <c r="F105" s="43"/>
    </row>
    <row r="106" spans="1:6" ht="20.100000000000001" customHeight="1">
      <c r="A106" s="39" t="e">
        <f>'F1 Forecast Combined'!A106</f>
        <v>#N/A</v>
      </c>
      <c r="B106" s="411"/>
      <c r="C106" s="408"/>
      <c r="D106" s="573"/>
      <c r="E106" s="48">
        <f t="shared" si="5"/>
        <v>0</v>
      </c>
      <c r="F106" s="43"/>
    </row>
    <row r="107" spans="1:6" ht="20.100000000000001" customHeight="1">
      <c r="A107" s="39" t="e">
        <f>'F1 Forecast Combined'!A107</f>
        <v>#N/A</v>
      </c>
      <c r="B107" s="411"/>
      <c r="C107" s="408"/>
      <c r="D107" s="573"/>
      <c r="E107" s="48">
        <f t="shared" si="5"/>
        <v>0</v>
      </c>
      <c r="F107" s="43"/>
    </row>
    <row r="108" spans="1:6" ht="20.100000000000001" customHeight="1">
      <c r="A108" s="39" t="e">
        <f>'F1 Forecast Combined'!A108</f>
        <v>#N/A</v>
      </c>
      <c r="B108" s="411"/>
      <c r="C108" s="408"/>
      <c r="D108" s="573"/>
      <c r="E108" s="48">
        <f t="shared" si="5"/>
        <v>0</v>
      </c>
      <c r="F108" s="43"/>
    </row>
    <row r="109" spans="1:6" ht="20.100000000000001" customHeight="1" thickBot="1">
      <c r="A109" s="556" t="e">
        <f>'F1 Forecast Combined'!A109</f>
        <v>#N/A</v>
      </c>
      <c r="B109" s="403"/>
      <c r="C109" s="403"/>
      <c r="D109" s="50">
        <f>SUM(D97:D108)</f>
        <v>0</v>
      </c>
      <c r="E109" s="50">
        <f>SUM(E97:E108)</f>
        <v>0</v>
      </c>
      <c r="F109" s="51">
        <f>SUM(F97:F108)</f>
        <v>0</v>
      </c>
    </row>
    <row r="110" spans="1:6" ht="20.100000000000001" customHeight="1" thickTop="1">
      <c r="A110" s="39" t="e">
        <f>'F1 Forecast Combined'!A110</f>
        <v>#N/A</v>
      </c>
      <c r="B110" s="411"/>
      <c r="C110" s="408"/>
      <c r="D110" s="573"/>
      <c r="E110" s="48">
        <f t="shared" ref="E110:E121" si="6">SUM(D110:D110)</f>
        <v>0</v>
      </c>
      <c r="F110" s="43"/>
    </row>
    <row r="111" spans="1:6" ht="20.100000000000001" customHeight="1">
      <c r="A111" s="39" t="e">
        <f>'F1 Forecast Combined'!A111</f>
        <v>#N/A</v>
      </c>
      <c r="B111" s="411"/>
      <c r="C111" s="408"/>
      <c r="D111" s="573"/>
      <c r="E111" s="48">
        <f t="shared" si="6"/>
        <v>0</v>
      </c>
      <c r="F111" s="43"/>
    </row>
    <row r="112" spans="1:6" ht="20.100000000000001" customHeight="1">
      <c r="A112" s="39" t="e">
        <f>'F1 Forecast Combined'!A112</f>
        <v>#N/A</v>
      </c>
      <c r="B112" s="411"/>
      <c r="C112" s="412"/>
      <c r="D112" s="573"/>
      <c r="E112" s="48">
        <f t="shared" si="6"/>
        <v>0</v>
      </c>
      <c r="F112" s="43"/>
    </row>
    <row r="113" spans="1:6" ht="20.100000000000001" customHeight="1">
      <c r="A113" s="39" t="e">
        <f>'F1 Forecast Combined'!A113</f>
        <v>#N/A</v>
      </c>
      <c r="B113" s="411"/>
      <c r="C113" s="412"/>
      <c r="D113" s="573"/>
      <c r="E113" s="48">
        <f t="shared" si="6"/>
        <v>0</v>
      </c>
      <c r="F113" s="43"/>
    </row>
    <row r="114" spans="1:6" ht="20.100000000000001" customHeight="1">
      <c r="A114" s="39" t="e">
        <f>'F1 Forecast Combined'!A114</f>
        <v>#N/A</v>
      </c>
      <c r="B114" s="411"/>
      <c r="C114" s="412"/>
      <c r="D114" s="573"/>
      <c r="E114" s="48">
        <f t="shared" si="6"/>
        <v>0</v>
      </c>
      <c r="F114" s="43"/>
    </row>
    <row r="115" spans="1:6" ht="20.100000000000001" customHeight="1">
      <c r="A115" s="39" t="e">
        <f>'F1 Forecast Combined'!A115</f>
        <v>#N/A</v>
      </c>
      <c r="B115" s="411"/>
      <c r="C115" s="412"/>
      <c r="D115" s="573"/>
      <c r="E115" s="48">
        <f t="shared" si="6"/>
        <v>0</v>
      </c>
      <c r="F115" s="43"/>
    </row>
    <row r="116" spans="1:6" ht="20.100000000000001" customHeight="1">
      <c r="A116" s="39" t="e">
        <f>'F1 Forecast Combined'!A116</f>
        <v>#N/A</v>
      </c>
      <c r="B116" s="411"/>
      <c r="C116" s="412"/>
      <c r="D116" s="573"/>
      <c r="E116" s="48">
        <f t="shared" si="6"/>
        <v>0</v>
      </c>
      <c r="F116" s="43"/>
    </row>
    <row r="117" spans="1:6" ht="20.100000000000001" customHeight="1">
      <c r="A117" s="39" t="e">
        <f>'F1 Forecast Combined'!A117</f>
        <v>#N/A</v>
      </c>
      <c r="B117" s="411"/>
      <c r="C117" s="412"/>
      <c r="D117" s="573"/>
      <c r="E117" s="48">
        <f t="shared" si="6"/>
        <v>0</v>
      </c>
      <c r="F117" s="43"/>
    </row>
    <row r="118" spans="1:6" ht="20.100000000000001" customHeight="1">
      <c r="A118" s="39" t="e">
        <f>'F1 Forecast Combined'!A118</f>
        <v>#N/A</v>
      </c>
      <c r="B118" s="411"/>
      <c r="C118" s="412"/>
      <c r="D118" s="573"/>
      <c r="E118" s="48">
        <f t="shared" si="6"/>
        <v>0</v>
      </c>
      <c r="F118" s="43"/>
    </row>
    <row r="119" spans="1:6" ht="20.100000000000001" customHeight="1">
      <c r="A119" s="39" t="e">
        <f>'F1 Forecast Combined'!A119</f>
        <v>#N/A</v>
      </c>
      <c r="B119" s="411"/>
      <c r="C119" s="412"/>
      <c r="D119" s="573"/>
      <c r="E119" s="48">
        <f t="shared" si="6"/>
        <v>0</v>
      </c>
      <c r="F119" s="43"/>
    </row>
    <row r="120" spans="1:6" ht="20.100000000000001" customHeight="1">
      <c r="A120" s="39" t="e">
        <f>'F1 Forecast Combined'!A120</f>
        <v>#N/A</v>
      </c>
      <c r="B120" s="411"/>
      <c r="C120" s="412"/>
      <c r="D120" s="573"/>
      <c r="E120" s="48">
        <f t="shared" si="6"/>
        <v>0</v>
      </c>
      <c r="F120" s="43"/>
    </row>
    <row r="121" spans="1:6" ht="20.100000000000001" customHeight="1">
      <c r="A121" s="39" t="e">
        <f>'F1 Forecast Combined'!A121</f>
        <v>#N/A</v>
      </c>
      <c r="B121" s="411"/>
      <c r="C121" s="412"/>
      <c r="D121" s="573"/>
      <c r="E121" s="48">
        <f t="shared" si="6"/>
        <v>0</v>
      </c>
      <c r="F121" s="43"/>
    </row>
    <row r="122" spans="1:6" ht="20.100000000000001" customHeight="1" thickBot="1">
      <c r="A122" s="556" t="e">
        <f>'F1 Forecast Combined'!A122</f>
        <v>#N/A</v>
      </c>
      <c r="B122" s="403"/>
      <c r="C122" s="403"/>
      <c r="D122" s="50">
        <f>SUM(D110:D121)</f>
        <v>0</v>
      </c>
      <c r="E122" s="50">
        <f>SUM(E110:E121)</f>
        <v>0</v>
      </c>
      <c r="F122" s="51">
        <f>SUM(F110:F121)</f>
        <v>0</v>
      </c>
    </row>
    <row r="123" spans="1:6" ht="20.100000000000001" customHeight="1" thickTop="1" thickBot="1">
      <c r="A123" s="52" t="s">
        <v>141</v>
      </c>
      <c r="B123" s="404"/>
      <c r="C123" s="404"/>
      <c r="D123" s="53">
        <f>D83+D96+D109+D122</f>
        <v>0</v>
      </c>
      <c r="E123" s="53">
        <f>E83+E96+E109+E122</f>
        <v>0</v>
      </c>
      <c r="F123" s="54">
        <f>F83+F96+F109+F122</f>
        <v>0</v>
      </c>
    </row>
    <row r="124" spans="1:6" ht="20.100000000000001" customHeight="1">
      <c r="A124" s="55" t="s">
        <v>142</v>
      </c>
      <c r="B124" s="55" t="s">
        <v>143</v>
      </c>
    </row>
  </sheetData>
  <mergeCells count="35">
    <mergeCell ref="B75:F75"/>
    <mergeCell ref="B77:D77"/>
    <mergeCell ref="B78:C78"/>
    <mergeCell ref="E78:F78"/>
    <mergeCell ref="A80:A82"/>
    <mergeCell ref="B80:E80"/>
    <mergeCell ref="B81:E81"/>
    <mergeCell ref="A68:F70"/>
    <mergeCell ref="A72:A73"/>
    <mergeCell ref="B72:F73"/>
    <mergeCell ref="B74:C74"/>
    <mergeCell ref="E74:F74"/>
    <mergeCell ref="B64:C65"/>
    <mergeCell ref="D64:E64"/>
    <mergeCell ref="D65:E65"/>
    <mergeCell ref="B66:B67"/>
    <mergeCell ref="C66:C67"/>
    <mergeCell ref="A5:F7"/>
    <mergeCell ref="B1:C2"/>
    <mergeCell ref="D1:E1"/>
    <mergeCell ref="D2:E2"/>
    <mergeCell ref="B3:B4"/>
    <mergeCell ref="C3:C4"/>
    <mergeCell ref="E15:F15"/>
    <mergeCell ref="A17:A19"/>
    <mergeCell ref="B17:E17"/>
    <mergeCell ref="B18:E18"/>
    <mergeCell ref="A9:A10"/>
    <mergeCell ref="B9:F10"/>
    <mergeCell ref="B11:C11"/>
    <mergeCell ref="E11:F11"/>
    <mergeCell ref="B12:F12"/>
    <mergeCell ref="B14:D14"/>
    <mergeCell ref="B15:C15"/>
    <mergeCell ref="E16:F16"/>
  </mergeCells>
  <pageMargins left="0" right="0" top="0.35433070866141736" bottom="0" header="0.11811023622047245" footer="0.11811023622047245"/>
  <pageSetup paperSize="9" scale="65" fitToHeight="2" orientation="portrait" blackAndWhite="1" r:id="rId1"/>
  <headerFooter alignWithMargins="0">
    <oddHeader>&amp;L&amp;"Calibri"&amp;10&amp;K000000 Sensitivity - General&amp;1#_x000D_</oddHeader>
  </headerFooter>
  <colBreaks count="1" manualBreakCount="1">
    <brk id="6" max="58" man="1"/>
  </col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6">
    <tabColor rgb="FF0070C0"/>
    <pageSetUpPr fitToPage="1"/>
  </sheetPr>
  <dimension ref="A1:P54"/>
  <sheetViews>
    <sheetView view="pageBreakPreview" zoomScale="70" zoomScaleNormal="75" zoomScaleSheetLayoutView="70" workbookViewId="0">
      <selection sqref="A1:E1"/>
    </sheetView>
  </sheetViews>
  <sheetFormatPr defaultRowHeight="15" customHeight="1"/>
  <cols>
    <col min="1" max="1" width="9.109375" style="16"/>
    <col min="2" max="2" width="12" style="16" customWidth="1"/>
    <col min="3" max="3" width="9.5546875" style="16" customWidth="1"/>
    <col min="4" max="5" width="9.109375" style="16"/>
    <col min="6" max="6" width="11.44140625" style="16" customWidth="1"/>
    <col min="7" max="7" width="18.5546875" style="16" customWidth="1"/>
    <col min="8" max="8" width="21.33203125" style="16" bestFit="1" customWidth="1"/>
    <col min="9" max="9" width="9.109375" style="16"/>
    <col min="10" max="10" width="14.5546875" style="16" customWidth="1"/>
    <col min="11" max="11" width="19.6640625" style="16" customWidth="1"/>
    <col min="12" max="12" width="7.109375" style="16" customWidth="1"/>
    <col min="13" max="13" width="15.5546875" style="16" customWidth="1"/>
    <col min="14" max="14" width="11.44140625" style="16" customWidth="1"/>
    <col min="15" max="15" width="9.109375" style="16"/>
    <col min="16" max="16" width="10.44140625" style="16" customWidth="1"/>
    <col min="17" max="257" width="9.109375" style="16"/>
    <col min="258" max="258" width="12" style="16" customWidth="1"/>
    <col min="259" max="259" width="9.5546875" style="16" customWidth="1"/>
    <col min="260" max="261" width="9.109375" style="16"/>
    <col min="262" max="262" width="11.44140625" style="16" customWidth="1"/>
    <col min="263" max="263" width="18.5546875" style="16" customWidth="1"/>
    <col min="264" max="264" width="21.33203125" style="16" bestFit="1" customWidth="1"/>
    <col min="265" max="265" width="9.109375" style="16"/>
    <col min="266" max="266" width="14.5546875" style="16" customWidth="1"/>
    <col min="267" max="267" width="17.6640625" style="16" customWidth="1"/>
    <col min="268" max="268" width="7.109375" style="16" customWidth="1"/>
    <col min="269" max="269" width="15.5546875" style="16" customWidth="1"/>
    <col min="270" max="270" width="11.44140625" style="16" customWidth="1"/>
    <col min="271" max="271" width="9.109375" style="16"/>
    <col min="272" max="272" width="10.44140625" style="16" customWidth="1"/>
    <col min="273" max="513" width="9.109375" style="16"/>
    <col min="514" max="514" width="12" style="16" customWidth="1"/>
    <col min="515" max="515" width="9.5546875" style="16" customWidth="1"/>
    <col min="516" max="517" width="9.109375" style="16"/>
    <col min="518" max="518" width="11.44140625" style="16" customWidth="1"/>
    <col min="519" max="519" width="18.5546875" style="16" customWidth="1"/>
    <col min="520" max="520" width="21.33203125" style="16" bestFit="1" customWidth="1"/>
    <col min="521" max="521" width="9.109375" style="16"/>
    <col min="522" max="522" width="14.5546875" style="16" customWidth="1"/>
    <col min="523" max="523" width="17.6640625" style="16" customWidth="1"/>
    <col min="524" max="524" width="7.109375" style="16" customWidth="1"/>
    <col min="525" max="525" width="15.5546875" style="16" customWidth="1"/>
    <col min="526" max="526" width="11.44140625" style="16" customWidth="1"/>
    <col min="527" max="527" width="9.109375" style="16"/>
    <col min="528" max="528" width="10.44140625" style="16" customWidth="1"/>
    <col min="529" max="769" width="9.109375" style="16"/>
    <col min="770" max="770" width="12" style="16" customWidth="1"/>
    <col min="771" max="771" width="9.5546875" style="16" customWidth="1"/>
    <col min="772" max="773" width="9.109375" style="16"/>
    <col min="774" max="774" width="11.44140625" style="16" customWidth="1"/>
    <col min="775" max="775" width="18.5546875" style="16" customWidth="1"/>
    <col min="776" max="776" width="21.33203125" style="16" bestFit="1" customWidth="1"/>
    <col min="777" max="777" width="9.109375" style="16"/>
    <col min="778" max="778" width="14.5546875" style="16" customWidth="1"/>
    <col min="779" max="779" width="17.6640625" style="16" customWidth="1"/>
    <col min="780" max="780" width="7.109375" style="16" customWidth="1"/>
    <col min="781" max="781" width="15.5546875" style="16" customWidth="1"/>
    <col min="782" max="782" width="11.44140625" style="16" customWidth="1"/>
    <col min="783" max="783" width="9.109375" style="16"/>
    <col min="784" max="784" width="10.44140625" style="16" customWidth="1"/>
    <col min="785" max="1025" width="9.109375" style="16"/>
    <col min="1026" max="1026" width="12" style="16" customWidth="1"/>
    <col min="1027" max="1027" width="9.5546875" style="16" customWidth="1"/>
    <col min="1028" max="1029" width="9.109375" style="16"/>
    <col min="1030" max="1030" width="11.44140625" style="16" customWidth="1"/>
    <col min="1031" max="1031" width="18.5546875" style="16" customWidth="1"/>
    <col min="1032" max="1032" width="21.33203125" style="16" bestFit="1" customWidth="1"/>
    <col min="1033" max="1033" width="9.109375" style="16"/>
    <col min="1034" max="1034" width="14.5546875" style="16" customWidth="1"/>
    <col min="1035" max="1035" width="17.6640625" style="16" customWidth="1"/>
    <col min="1036" max="1036" width="7.109375" style="16" customWidth="1"/>
    <col min="1037" max="1037" width="15.5546875" style="16" customWidth="1"/>
    <col min="1038" max="1038" width="11.44140625" style="16" customWidth="1"/>
    <col min="1039" max="1039" width="9.109375" style="16"/>
    <col min="1040" max="1040" width="10.44140625" style="16" customWidth="1"/>
    <col min="1041" max="1281" width="9.109375" style="16"/>
    <col min="1282" max="1282" width="12" style="16" customWidth="1"/>
    <col min="1283" max="1283" width="9.5546875" style="16" customWidth="1"/>
    <col min="1284" max="1285" width="9.109375" style="16"/>
    <col min="1286" max="1286" width="11.44140625" style="16" customWidth="1"/>
    <col min="1287" max="1287" width="18.5546875" style="16" customWidth="1"/>
    <col min="1288" max="1288" width="21.33203125" style="16" bestFit="1" customWidth="1"/>
    <col min="1289" max="1289" width="9.109375" style="16"/>
    <col min="1290" max="1290" width="14.5546875" style="16" customWidth="1"/>
    <col min="1291" max="1291" width="17.6640625" style="16" customWidth="1"/>
    <col min="1292" max="1292" width="7.109375" style="16" customWidth="1"/>
    <col min="1293" max="1293" width="15.5546875" style="16" customWidth="1"/>
    <col min="1294" max="1294" width="11.44140625" style="16" customWidth="1"/>
    <col min="1295" max="1295" width="9.109375" style="16"/>
    <col min="1296" max="1296" width="10.44140625" style="16" customWidth="1"/>
    <col min="1297" max="1537" width="9.109375" style="16"/>
    <col min="1538" max="1538" width="12" style="16" customWidth="1"/>
    <col min="1539" max="1539" width="9.5546875" style="16" customWidth="1"/>
    <col min="1540" max="1541" width="9.109375" style="16"/>
    <col min="1542" max="1542" width="11.44140625" style="16" customWidth="1"/>
    <col min="1543" max="1543" width="18.5546875" style="16" customWidth="1"/>
    <col min="1544" max="1544" width="21.33203125" style="16" bestFit="1" customWidth="1"/>
    <col min="1545" max="1545" width="9.109375" style="16"/>
    <col min="1546" max="1546" width="14.5546875" style="16" customWidth="1"/>
    <col min="1547" max="1547" width="17.6640625" style="16" customWidth="1"/>
    <col min="1548" max="1548" width="7.109375" style="16" customWidth="1"/>
    <col min="1549" max="1549" width="15.5546875" style="16" customWidth="1"/>
    <col min="1550" max="1550" width="11.44140625" style="16" customWidth="1"/>
    <col min="1551" max="1551" width="9.109375" style="16"/>
    <col min="1552" max="1552" width="10.44140625" style="16" customWidth="1"/>
    <col min="1553" max="1793" width="9.109375" style="16"/>
    <col min="1794" max="1794" width="12" style="16" customWidth="1"/>
    <col min="1795" max="1795" width="9.5546875" style="16" customWidth="1"/>
    <col min="1796" max="1797" width="9.109375" style="16"/>
    <col min="1798" max="1798" width="11.44140625" style="16" customWidth="1"/>
    <col min="1799" max="1799" width="18.5546875" style="16" customWidth="1"/>
    <col min="1800" max="1800" width="21.33203125" style="16" bestFit="1" customWidth="1"/>
    <col min="1801" max="1801" width="9.109375" style="16"/>
    <col min="1802" max="1802" width="14.5546875" style="16" customWidth="1"/>
    <col min="1803" max="1803" width="17.6640625" style="16" customWidth="1"/>
    <col min="1804" max="1804" width="7.109375" style="16" customWidth="1"/>
    <col min="1805" max="1805" width="15.5546875" style="16" customWidth="1"/>
    <col min="1806" max="1806" width="11.44140625" style="16" customWidth="1"/>
    <col min="1807" max="1807" width="9.109375" style="16"/>
    <col min="1808" max="1808" width="10.44140625" style="16" customWidth="1"/>
    <col min="1809" max="2049" width="9.109375" style="16"/>
    <col min="2050" max="2050" width="12" style="16" customWidth="1"/>
    <col min="2051" max="2051" width="9.5546875" style="16" customWidth="1"/>
    <col min="2052" max="2053" width="9.109375" style="16"/>
    <col min="2054" max="2054" width="11.44140625" style="16" customWidth="1"/>
    <col min="2055" max="2055" width="18.5546875" style="16" customWidth="1"/>
    <col min="2056" max="2056" width="21.33203125" style="16" bestFit="1" customWidth="1"/>
    <col min="2057" max="2057" width="9.109375" style="16"/>
    <col min="2058" max="2058" width="14.5546875" style="16" customWidth="1"/>
    <col min="2059" max="2059" width="17.6640625" style="16" customWidth="1"/>
    <col min="2060" max="2060" width="7.109375" style="16" customWidth="1"/>
    <col min="2061" max="2061" width="15.5546875" style="16" customWidth="1"/>
    <col min="2062" max="2062" width="11.44140625" style="16" customWidth="1"/>
    <col min="2063" max="2063" width="9.109375" style="16"/>
    <col min="2064" max="2064" width="10.44140625" style="16" customWidth="1"/>
    <col min="2065" max="2305" width="9.109375" style="16"/>
    <col min="2306" max="2306" width="12" style="16" customWidth="1"/>
    <col min="2307" max="2307" width="9.5546875" style="16" customWidth="1"/>
    <col min="2308" max="2309" width="9.109375" style="16"/>
    <col min="2310" max="2310" width="11.44140625" style="16" customWidth="1"/>
    <col min="2311" max="2311" width="18.5546875" style="16" customWidth="1"/>
    <col min="2312" max="2312" width="21.33203125" style="16" bestFit="1" customWidth="1"/>
    <col min="2313" max="2313" width="9.109375" style="16"/>
    <col min="2314" max="2314" width="14.5546875" style="16" customWidth="1"/>
    <col min="2315" max="2315" width="17.6640625" style="16" customWidth="1"/>
    <col min="2316" max="2316" width="7.109375" style="16" customWidth="1"/>
    <col min="2317" max="2317" width="15.5546875" style="16" customWidth="1"/>
    <col min="2318" max="2318" width="11.44140625" style="16" customWidth="1"/>
    <col min="2319" max="2319" width="9.109375" style="16"/>
    <col min="2320" max="2320" width="10.44140625" style="16" customWidth="1"/>
    <col min="2321" max="2561" width="9.109375" style="16"/>
    <col min="2562" max="2562" width="12" style="16" customWidth="1"/>
    <col min="2563" max="2563" width="9.5546875" style="16" customWidth="1"/>
    <col min="2564" max="2565" width="9.109375" style="16"/>
    <col min="2566" max="2566" width="11.44140625" style="16" customWidth="1"/>
    <col min="2567" max="2567" width="18.5546875" style="16" customWidth="1"/>
    <col min="2568" max="2568" width="21.33203125" style="16" bestFit="1" customWidth="1"/>
    <col min="2569" max="2569" width="9.109375" style="16"/>
    <col min="2570" max="2570" width="14.5546875" style="16" customWidth="1"/>
    <col min="2571" max="2571" width="17.6640625" style="16" customWidth="1"/>
    <col min="2572" max="2572" width="7.109375" style="16" customWidth="1"/>
    <col min="2573" max="2573" width="15.5546875" style="16" customWidth="1"/>
    <col min="2574" max="2574" width="11.44140625" style="16" customWidth="1"/>
    <col min="2575" max="2575" width="9.109375" style="16"/>
    <col min="2576" max="2576" width="10.44140625" style="16" customWidth="1"/>
    <col min="2577" max="2817" width="9.109375" style="16"/>
    <col min="2818" max="2818" width="12" style="16" customWidth="1"/>
    <col min="2819" max="2819" width="9.5546875" style="16" customWidth="1"/>
    <col min="2820" max="2821" width="9.109375" style="16"/>
    <col min="2822" max="2822" width="11.44140625" style="16" customWidth="1"/>
    <col min="2823" max="2823" width="18.5546875" style="16" customWidth="1"/>
    <col min="2824" max="2824" width="21.33203125" style="16" bestFit="1" customWidth="1"/>
    <col min="2825" max="2825" width="9.109375" style="16"/>
    <col min="2826" max="2826" width="14.5546875" style="16" customWidth="1"/>
    <col min="2827" max="2827" width="17.6640625" style="16" customWidth="1"/>
    <col min="2828" max="2828" width="7.109375" style="16" customWidth="1"/>
    <col min="2829" max="2829" width="15.5546875" style="16" customWidth="1"/>
    <col min="2830" max="2830" width="11.44140625" style="16" customWidth="1"/>
    <col min="2831" max="2831" width="9.109375" style="16"/>
    <col min="2832" max="2832" width="10.44140625" style="16" customWidth="1"/>
    <col min="2833" max="3073" width="9.109375" style="16"/>
    <col min="3074" max="3074" width="12" style="16" customWidth="1"/>
    <col min="3075" max="3075" width="9.5546875" style="16" customWidth="1"/>
    <col min="3076" max="3077" width="9.109375" style="16"/>
    <col min="3078" max="3078" width="11.44140625" style="16" customWidth="1"/>
    <col min="3079" max="3079" width="18.5546875" style="16" customWidth="1"/>
    <col min="3080" max="3080" width="21.33203125" style="16" bestFit="1" customWidth="1"/>
    <col min="3081" max="3081" width="9.109375" style="16"/>
    <col min="3082" max="3082" width="14.5546875" style="16" customWidth="1"/>
    <col min="3083" max="3083" width="17.6640625" style="16" customWidth="1"/>
    <col min="3084" max="3084" width="7.109375" style="16" customWidth="1"/>
    <col min="3085" max="3085" width="15.5546875" style="16" customWidth="1"/>
    <col min="3086" max="3086" width="11.44140625" style="16" customWidth="1"/>
    <col min="3087" max="3087" width="9.109375" style="16"/>
    <col min="3088" max="3088" width="10.44140625" style="16" customWidth="1"/>
    <col min="3089" max="3329" width="9.109375" style="16"/>
    <col min="3330" max="3330" width="12" style="16" customWidth="1"/>
    <col min="3331" max="3331" width="9.5546875" style="16" customWidth="1"/>
    <col min="3332" max="3333" width="9.109375" style="16"/>
    <col min="3334" max="3334" width="11.44140625" style="16" customWidth="1"/>
    <col min="3335" max="3335" width="18.5546875" style="16" customWidth="1"/>
    <col min="3336" max="3336" width="21.33203125" style="16" bestFit="1" customWidth="1"/>
    <col min="3337" max="3337" width="9.109375" style="16"/>
    <col min="3338" max="3338" width="14.5546875" style="16" customWidth="1"/>
    <col min="3339" max="3339" width="17.6640625" style="16" customWidth="1"/>
    <col min="3340" max="3340" width="7.109375" style="16" customWidth="1"/>
    <col min="3341" max="3341" width="15.5546875" style="16" customWidth="1"/>
    <col min="3342" max="3342" width="11.44140625" style="16" customWidth="1"/>
    <col min="3343" max="3343" width="9.109375" style="16"/>
    <col min="3344" max="3344" width="10.44140625" style="16" customWidth="1"/>
    <col min="3345" max="3585" width="9.109375" style="16"/>
    <col min="3586" max="3586" width="12" style="16" customWidth="1"/>
    <col min="3587" max="3587" width="9.5546875" style="16" customWidth="1"/>
    <col min="3588" max="3589" width="9.109375" style="16"/>
    <col min="3590" max="3590" width="11.44140625" style="16" customWidth="1"/>
    <col min="3591" max="3591" width="18.5546875" style="16" customWidth="1"/>
    <col min="3592" max="3592" width="21.33203125" style="16" bestFit="1" customWidth="1"/>
    <col min="3593" max="3593" width="9.109375" style="16"/>
    <col min="3594" max="3594" width="14.5546875" style="16" customWidth="1"/>
    <col min="3595" max="3595" width="17.6640625" style="16" customWidth="1"/>
    <col min="3596" max="3596" width="7.109375" style="16" customWidth="1"/>
    <col min="3597" max="3597" width="15.5546875" style="16" customWidth="1"/>
    <col min="3598" max="3598" width="11.44140625" style="16" customWidth="1"/>
    <col min="3599" max="3599" width="9.109375" style="16"/>
    <col min="3600" max="3600" width="10.44140625" style="16" customWidth="1"/>
    <col min="3601" max="3841" width="9.109375" style="16"/>
    <col min="3842" max="3842" width="12" style="16" customWidth="1"/>
    <col min="3843" max="3843" width="9.5546875" style="16" customWidth="1"/>
    <col min="3844" max="3845" width="9.109375" style="16"/>
    <col min="3846" max="3846" width="11.44140625" style="16" customWidth="1"/>
    <col min="3847" max="3847" width="18.5546875" style="16" customWidth="1"/>
    <col min="3848" max="3848" width="21.33203125" style="16" bestFit="1" customWidth="1"/>
    <col min="3849" max="3849" width="9.109375" style="16"/>
    <col min="3850" max="3850" width="14.5546875" style="16" customWidth="1"/>
    <col min="3851" max="3851" width="17.6640625" style="16" customWidth="1"/>
    <col min="3852" max="3852" width="7.109375" style="16" customWidth="1"/>
    <col min="3853" max="3853" width="15.5546875" style="16" customWidth="1"/>
    <col min="3854" max="3854" width="11.44140625" style="16" customWidth="1"/>
    <col min="3855" max="3855" width="9.109375" style="16"/>
    <col min="3856" max="3856" width="10.44140625" style="16" customWidth="1"/>
    <col min="3857" max="4097" width="9.109375" style="16"/>
    <col min="4098" max="4098" width="12" style="16" customWidth="1"/>
    <col min="4099" max="4099" width="9.5546875" style="16" customWidth="1"/>
    <col min="4100" max="4101" width="9.109375" style="16"/>
    <col min="4102" max="4102" width="11.44140625" style="16" customWidth="1"/>
    <col min="4103" max="4103" width="18.5546875" style="16" customWidth="1"/>
    <col min="4104" max="4104" width="21.33203125" style="16" bestFit="1" customWidth="1"/>
    <col min="4105" max="4105" width="9.109375" style="16"/>
    <col min="4106" max="4106" width="14.5546875" style="16" customWidth="1"/>
    <col min="4107" max="4107" width="17.6640625" style="16" customWidth="1"/>
    <col min="4108" max="4108" width="7.109375" style="16" customWidth="1"/>
    <col min="4109" max="4109" width="15.5546875" style="16" customWidth="1"/>
    <col min="4110" max="4110" width="11.44140625" style="16" customWidth="1"/>
    <col min="4111" max="4111" width="9.109375" style="16"/>
    <col min="4112" max="4112" width="10.44140625" style="16" customWidth="1"/>
    <col min="4113" max="4353" width="9.109375" style="16"/>
    <col min="4354" max="4354" width="12" style="16" customWidth="1"/>
    <col min="4355" max="4355" width="9.5546875" style="16" customWidth="1"/>
    <col min="4356" max="4357" width="9.109375" style="16"/>
    <col min="4358" max="4358" width="11.44140625" style="16" customWidth="1"/>
    <col min="4359" max="4359" width="18.5546875" style="16" customWidth="1"/>
    <col min="4360" max="4360" width="21.33203125" style="16" bestFit="1" customWidth="1"/>
    <col min="4361" max="4361" width="9.109375" style="16"/>
    <col min="4362" max="4362" width="14.5546875" style="16" customWidth="1"/>
    <col min="4363" max="4363" width="17.6640625" style="16" customWidth="1"/>
    <col min="4364" max="4364" width="7.109375" style="16" customWidth="1"/>
    <col min="4365" max="4365" width="15.5546875" style="16" customWidth="1"/>
    <col min="4366" max="4366" width="11.44140625" style="16" customWidth="1"/>
    <col min="4367" max="4367" width="9.109375" style="16"/>
    <col min="4368" max="4368" width="10.44140625" style="16" customWidth="1"/>
    <col min="4369" max="4609" width="9.109375" style="16"/>
    <col min="4610" max="4610" width="12" style="16" customWidth="1"/>
    <col min="4611" max="4611" width="9.5546875" style="16" customWidth="1"/>
    <col min="4612" max="4613" width="9.109375" style="16"/>
    <col min="4614" max="4614" width="11.44140625" style="16" customWidth="1"/>
    <col min="4615" max="4615" width="18.5546875" style="16" customWidth="1"/>
    <col min="4616" max="4616" width="21.33203125" style="16" bestFit="1" customWidth="1"/>
    <col min="4617" max="4617" width="9.109375" style="16"/>
    <col min="4618" max="4618" width="14.5546875" style="16" customWidth="1"/>
    <col min="4619" max="4619" width="17.6640625" style="16" customWidth="1"/>
    <col min="4620" max="4620" width="7.109375" style="16" customWidth="1"/>
    <col min="4621" max="4621" width="15.5546875" style="16" customWidth="1"/>
    <col min="4622" max="4622" width="11.44140625" style="16" customWidth="1"/>
    <col min="4623" max="4623" width="9.109375" style="16"/>
    <col min="4624" max="4624" width="10.44140625" style="16" customWidth="1"/>
    <col min="4625" max="4865" width="9.109375" style="16"/>
    <col min="4866" max="4866" width="12" style="16" customWidth="1"/>
    <col min="4867" max="4867" width="9.5546875" style="16" customWidth="1"/>
    <col min="4868" max="4869" width="9.109375" style="16"/>
    <col min="4870" max="4870" width="11.44140625" style="16" customWidth="1"/>
    <col min="4871" max="4871" width="18.5546875" style="16" customWidth="1"/>
    <col min="4872" max="4872" width="21.33203125" style="16" bestFit="1" customWidth="1"/>
    <col min="4873" max="4873" width="9.109375" style="16"/>
    <col min="4874" max="4874" width="14.5546875" style="16" customWidth="1"/>
    <col min="4875" max="4875" width="17.6640625" style="16" customWidth="1"/>
    <col min="4876" max="4876" width="7.109375" style="16" customWidth="1"/>
    <col min="4877" max="4877" width="15.5546875" style="16" customWidth="1"/>
    <col min="4878" max="4878" width="11.44140625" style="16" customWidth="1"/>
    <col min="4879" max="4879" width="9.109375" style="16"/>
    <col min="4880" max="4880" width="10.44140625" style="16" customWidth="1"/>
    <col min="4881" max="5121" width="9.109375" style="16"/>
    <col min="5122" max="5122" width="12" style="16" customWidth="1"/>
    <col min="5123" max="5123" width="9.5546875" style="16" customWidth="1"/>
    <col min="5124" max="5125" width="9.109375" style="16"/>
    <col min="5126" max="5126" width="11.44140625" style="16" customWidth="1"/>
    <col min="5127" max="5127" width="18.5546875" style="16" customWidth="1"/>
    <col min="5128" max="5128" width="21.33203125" style="16" bestFit="1" customWidth="1"/>
    <col min="5129" max="5129" width="9.109375" style="16"/>
    <col min="5130" max="5130" width="14.5546875" style="16" customWidth="1"/>
    <col min="5131" max="5131" width="17.6640625" style="16" customWidth="1"/>
    <col min="5132" max="5132" width="7.109375" style="16" customWidth="1"/>
    <col min="5133" max="5133" width="15.5546875" style="16" customWidth="1"/>
    <col min="5134" max="5134" width="11.44140625" style="16" customWidth="1"/>
    <col min="5135" max="5135" width="9.109375" style="16"/>
    <col min="5136" max="5136" width="10.44140625" style="16" customWidth="1"/>
    <col min="5137" max="5377" width="9.109375" style="16"/>
    <col min="5378" max="5378" width="12" style="16" customWidth="1"/>
    <col min="5379" max="5379" width="9.5546875" style="16" customWidth="1"/>
    <col min="5380" max="5381" width="9.109375" style="16"/>
    <col min="5382" max="5382" width="11.44140625" style="16" customWidth="1"/>
    <col min="5383" max="5383" width="18.5546875" style="16" customWidth="1"/>
    <col min="5384" max="5384" width="21.33203125" style="16" bestFit="1" customWidth="1"/>
    <col min="5385" max="5385" width="9.109375" style="16"/>
    <col min="5386" max="5386" width="14.5546875" style="16" customWidth="1"/>
    <col min="5387" max="5387" width="17.6640625" style="16" customWidth="1"/>
    <col min="5388" max="5388" width="7.109375" style="16" customWidth="1"/>
    <col min="5389" max="5389" width="15.5546875" style="16" customWidth="1"/>
    <col min="5390" max="5390" width="11.44140625" style="16" customWidth="1"/>
    <col min="5391" max="5391" width="9.109375" style="16"/>
    <col min="5392" max="5392" width="10.44140625" style="16" customWidth="1"/>
    <col min="5393" max="5633" width="9.109375" style="16"/>
    <col min="5634" max="5634" width="12" style="16" customWidth="1"/>
    <col min="5635" max="5635" width="9.5546875" style="16" customWidth="1"/>
    <col min="5636" max="5637" width="9.109375" style="16"/>
    <col min="5638" max="5638" width="11.44140625" style="16" customWidth="1"/>
    <col min="5639" max="5639" width="18.5546875" style="16" customWidth="1"/>
    <col min="5640" max="5640" width="21.33203125" style="16" bestFit="1" customWidth="1"/>
    <col min="5641" max="5641" width="9.109375" style="16"/>
    <col min="5642" max="5642" width="14.5546875" style="16" customWidth="1"/>
    <col min="5643" max="5643" width="17.6640625" style="16" customWidth="1"/>
    <col min="5644" max="5644" width="7.109375" style="16" customWidth="1"/>
    <col min="5645" max="5645" width="15.5546875" style="16" customWidth="1"/>
    <col min="5646" max="5646" width="11.44140625" style="16" customWidth="1"/>
    <col min="5647" max="5647" width="9.109375" style="16"/>
    <col min="5648" max="5648" width="10.44140625" style="16" customWidth="1"/>
    <col min="5649" max="5889" width="9.109375" style="16"/>
    <col min="5890" max="5890" width="12" style="16" customWidth="1"/>
    <col min="5891" max="5891" width="9.5546875" style="16" customWidth="1"/>
    <col min="5892" max="5893" width="9.109375" style="16"/>
    <col min="5894" max="5894" width="11.44140625" style="16" customWidth="1"/>
    <col min="5895" max="5895" width="18.5546875" style="16" customWidth="1"/>
    <col min="5896" max="5896" width="21.33203125" style="16" bestFit="1" customWidth="1"/>
    <col min="5897" max="5897" width="9.109375" style="16"/>
    <col min="5898" max="5898" width="14.5546875" style="16" customWidth="1"/>
    <col min="5899" max="5899" width="17.6640625" style="16" customWidth="1"/>
    <col min="5900" max="5900" width="7.109375" style="16" customWidth="1"/>
    <col min="5901" max="5901" width="15.5546875" style="16" customWidth="1"/>
    <col min="5902" max="5902" width="11.44140625" style="16" customWidth="1"/>
    <col min="5903" max="5903" width="9.109375" style="16"/>
    <col min="5904" max="5904" width="10.44140625" style="16" customWidth="1"/>
    <col min="5905" max="6145" width="9.109375" style="16"/>
    <col min="6146" max="6146" width="12" style="16" customWidth="1"/>
    <col min="6147" max="6147" width="9.5546875" style="16" customWidth="1"/>
    <col min="6148" max="6149" width="9.109375" style="16"/>
    <col min="6150" max="6150" width="11.44140625" style="16" customWidth="1"/>
    <col min="6151" max="6151" width="18.5546875" style="16" customWidth="1"/>
    <col min="6152" max="6152" width="21.33203125" style="16" bestFit="1" customWidth="1"/>
    <col min="6153" max="6153" width="9.109375" style="16"/>
    <col min="6154" max="6154" width="14.5546875" style="16" customWidth="1"/>
    <col min="6155" max="6155" width="17.6640625" style="16" customWidth="1"/>
    <col min="6156" max="6156" width="7.109375" style="16" customWidth="1"/>
    <col min="6157" max="6157" width="15.5546875" style="16" customWidth="1"/>
    <col min="6158" max="6158" width="11.44140625" style="16" customWidth="1"/>
    <col min="6159" max="6159" width="9.109375" style="16"/>
    <col min="6160" max="6160" width="10.44140625" style="16" customWidth="1"/>
    <col min="6161" max="6401" width="9.109375" style="16"/>
    <col min="6402" max="6402" width="12" style="16" customWidth="1"/>
    <col min="6403" max="6403" width="9.5546875" style="16" customWidth="1"/>
    <col min="6404" max="6405" width="9.109375" style="16"/>
    <col min="6406" max="6406" width="11.44140625" style="16" customWidth="1"/>
    <col min="6407" max="6407" width="18.5546875" style="16" customWidth="1"/>
    <col min="6408" max="6408" width="21.33203125" style="16" bestFit="1" customWidth="1"/>
    <col min="6409" max="6409" width="9.109375" style="16"/>
    <col min="6410" max="6410" width="14.5546875" style="16" customWidth="1"/>
    <col min="6411" max="6411" width="17.6640625" style="16" customWidth="1"/>
    <col min="6412" max="6412" width="7.109375" style="16" customWidth="1"/>
    <col min="6413" max="6413" width="15.5546875" style="16" customWidth="1"/>
    <col min="6414" max="6414" width="11.44140625" style="16" customWidth="1"/>
    <col min="6415" max="6415" width="9.109375" style="16"/>
    <col min="6416" max="6416" width="10.44140625" style="16" customWidth="1"/>
    <col min="6417" max="6657" width="9.109375" style="16"/>
    <col min="6658" max="6658" width="12" style="16" customWidth="1"/>
    <col min="6659" max="6659" width="9.5546875" style="16" customWidth="1"/>
    <col min="6660" max="6661" width="9.109375" style="16"/>
    <col min="6662" max="6662" width="11.44140625" style="16" customWidth="1"/>
    <col min="6663" max="6663" width="18.5546875" style="16" customWidth="1"/>
    <col min="6664" max="6664" width="21.33203125" style="16" bestFit="1" customWidth="1"/>
    <col min="6665" max="6665" width="9.109375" style="16"/>
    <col min="6666" max="6666" width="14.5546875" style="16" customWidth="1"/>
    <col min="6667" max="6667" width="17.6640625" style="16" customWidth="1"/>
    <col min="6668" max="6668" width="7.109375" style="16" customWidth="1"/>
    <col min="6669" max="6669" width="15.5546875" style="16" customWidth="1"/>
    <col min="6670" max="6670" width="11.44140625" style="16" customWidth="1"/>
    <col min="6671" max="6671" width="9.109375" style="16"/>
    <col min="6672" max="6672" width="10.44140625" style="16" customWidth="1"/>
    <col min="6673" max="6913" width="9.109375" style="16"/>
    <col min="6914" max="6914" width="12" style="16" customWidth="1"/>
    <col min="6915" max="6915" width="9.5546875" style="16" customWidth="1"/>
    <col min="6916" max="6917" width="9.109375" style="16"/>
    <col min="6918" max="6918" width="11.44140625" style="16" customWidth="1"/>
    <col min="6919" max="6919" width="18.5546875" style="16" customWidth="1"/>
    <col min="6920" max="6920" width="21.33203125" style="16" bestFit="1" customWidth="1"/>
    <col min="6921" max="6921" width="9.109375" style="16"/>
    <col min="6922" max="6922" width="14.5546875" style="16" customWidth="1"/>
    <col min="6923" max="6923" width="17.6640625" style="16" customWidth="1"/>
    <col min="6924" max="6924" width="7.109375" style="16" customWidth="1"/>
    <col min="6925" max="6925" width="15.5546875" style="16" customWidth="1"/>
    <col min="6926" max="6926" width="11.44140625" style="16" customWidth="1"/>
    <col min="6927" max="6927" width="9.109375" style="16"/>
    <col min="6928" max="6928" width="10.44140625" style="16" customWidth="1"/>
    <col min="6929" max="7169" width="9.109375" style="16"/>
    <col min="7170" max="7170" width="12" style="16" customWidth="1"/>
    <col min="7171" max="7171" width="9.5546875" style="16" customWidth="1"/>
    <col min="7172" max="7173" width="9.109375" style="16"/>
    <col min="7174" max="7174" width="11.44140625" style="16" customWidth="1"/>
    <col min="7175" max="7175" width="18.5546875" style="16" customWidth="1"/>
    <col min="7176" max="7176" width="21.33203125" style="16" bestFit="1" customWidth="1"/>
    <col min="7177" max="7177" width="9.109375" style="16"/>
    <col min="7178" max="7178" width="14.5546875" style="16" customWidth="1"/>
    <col min="7179" max="7179" width="17.6640625" style="16" customWidth="1"/>
    <col min="7180" max="7180" width="7.109375" style="16" customWidth="1"/>
    <col min="7181" max="7181" width="15.5546875" style="16" customWidth="1"/>
    <col min="7182" max="7182" width="11.44140625" style="16" customWidth="1"/>
    <col min="7183" max="7183" width="9.109375" style="16"/>
    <col min="7184" max="7184" width="10.44140625" style="16" customWidth="1"/>
    <col min="7185" max="7425" width="9.109375" style="16"/>
    <col min="7426" max="7426" width="12" style="16" customWidth="1"/>
    <col min="7427" max="7427" width="9.5546875" style="16" customWidth="1"/>
    <col min="7428" max="7429" width="9.109375" style="16"/>
    <col min="7430" max="7430" width="11.44140625" style="16" customWidth="1"/>
    <col min="7431" max="7431" width="18.5546875" style="16" customWidth="1"/>
    <col min="7432" max="7432" width="21.33203125" style="16" bestFit="1" customWidth="1"/>
    <col min="7433" max="7433" width="9.109375" style="16"/>
    <col min="7434" max="7434" width="14.5546875" style="16" customWidth="1"/>
    <col min="7435" max="7435" width="17.6640625" style="16" customWidth="1"/>
    <col min="7436" max="7436" width="7.109375" style="16" customWidth="1"/>
    <col min="7437" max="7437" width="15.5546875" style="16" customWidth="1"/>
    <col min="7438" max="7438" width="11.44140625" style="16" customWidth="1"/>
    <col min="7439" max="7439" width="9.109375" style="16"/>
    <col min="7440" max="7440" width="10.44140625" style="16" customWidth="1"/>
    <col min="7441" max="7681" width="9.109375" style="16"/>
    <col min="7682" max="7682" width="12" style="16" customWidth="1"/>
    <col min="7683" max="7683" width="9.5546875" style="16" customWidth="1"/>
    <col min="7684" max="7685" width="9.109375" style="16"/>
    <col min="7686" max="7686" width="11.44140625" style="16" customWidth="1"/>
    <col min="7687" max="7687" width="18.5546875" style="16" customWidth="1"/>
    <col min="7688" max="7688" width="21.33203125" style="16" bestFit="1" customWidth="1"/>
    <col min="7689" max="7689" width="9.109375" style="16"/>
    <col min="7690" max="7690" width="14.5546875" style="16" customWidth="1"/>
    <col min="7691" max="7691" width="17.6640625" style="16" customWidth="1"/>
    <col min="7692" max="7692" width="7.109375" style="16" customWidth="1"/>
    <col min="7693" max="7693" width="15.5546875" style="16" customWidth="1"/>
    <col min="7694" max="7694" width="11.44140625" style="16" customWidth="1"/>
    <col min="7695" max="7695" width="9.109375" style="16"/>
    <col min="7696" max="7696" width="10.44140625" style="16" customWidth="1"/>
    <col min="7697" max="7937" width="9.109375" style="16"/>
    <col min="7938" max="7938" width="12" style="16" customWidth="1"/>
    <col min="7939" max="7939" width="9.5546875" style="16" customWidth="1"/>
    <col min="7940" max="7941" width="9.109375" style="16"/>
    <col min="7942" max="7942" width="11.44140625" style="16" customWidth="1"/>
    <col min="7943" max="7943" width="18.5546875" style="16" customWidth="1"/>
    <col min="7944" max="7944" width="21.33203125" style="16" bestFit="1" customWidth="1"/>
    <col min="7945" max="7945" width="9.109375" style="16"/>
    <col min="7946" max="7946" width="14.5546875" style="16" customWidth="1"/>
    <col min="7947" max="7947" width="17.6640625" style="16" customWidth="1"/>
    <col min="7948" max="7948" width="7.109375" style="16" customWidth="1"/>
    <col min="7949" max="7949" width="15.5546875" style="16" customWidth="1"/>
    <col min="7950" max="7950" width="11.44140625" style="16" customWidth="1"/>
    <col min="7951" max="7951" width="9.109375" style="16"/>
    <col min="7952" max="7952" width="10.44140625" style="16" customWidth="1"/>
    <col min="7953" max="8193" width="9.109375" style="16"/>
    <col min="8194" max="8194" width="12" style="16" customWidth="1"/>
    <col min="8195" max="8195" width="9.5546875" style="16" customWidth="1"/>
    <col min="8196" max="8197" width="9.109375" style="16"/>
    <col min="8198" max="8198" width="11.44140625" style="16" customWidth="1"/>
    <col min="8199" max="8199" width="18.5546875" style="16" customWidth="1"/>
    <col min="8200" max="8200" width="21.33203125" style="16" bestFit="1" customWidth="1"/>
    <col min="8201" max="8201" width="9.109375" style="16"/>
    <col min="8202" max="8202" width="14.5546875" style="16" customWidth="1"/>
    <col min="8203" max="8203" width="17.6640625" style="16" customWidth="1"/>
    <col min="8204" max="8204" width="7.109375" style="16" customWidth="1"/>
    <col min="8205" max="8205" width="15.5546875" style="16" customWidth="1"/>
    <col min="8206" max="8206" width="11.44140625" style="16" customWidth="1"/>
    <col min="8207" max="8207" width="9.109375" style="16"/>
    <col min="8208" max="8208" width="10.44140625" style="16" customWidth="1"/>
    <col min="8209" max="8449" width="9.109375" style="16"/>
    <col min="8450" max="8450" width="12" style="16" customWidth="1"/>
    <col min="8451" max="8451" width="9.5546875" style="16" customWidth="1"/>
    <col min="8452" max="8453" width="9.109375" style="16"/>
    <col min="8454" max="8454" width="11.44140625" style="16" customWidth="1"/>
    <col min="8455" max="8455" width="18.5546875" style="16" customWidth="1"/>
    <col min="8456" max="8456" width="21.33203125" style="16" bestFit="1" customWidth="1"/>
    <col min="8457" max="8457" width="9.109375" style="16"/>
    <col min="8458" max="8458" width="14.5546875" style="16" customWidth="1"/>
    <col min="8459" max="8459" width="17.6640625" style="16" customWidth="1"/>
    <col min="8460" max="8460" width="7.109375" style="16" customWidth="1"/>
    <col min="8461" max="8461" width="15.5546875" style="16" customWidth="1"/>
    <col min="8462" max="8462" width="11.44140625" style="16" customWidth="1"/>
    <col min="8463" max="8463" width="9.109375" style="16"/>
    <col min="8464" max="8464" width="10.44140625" style="16" customWidth="1"/>
    <col min="8465" max="8705" width="9.109375" style="16"/>
    <col min="8706" max="8706" width="12" style="16" customWidth="1"/>
    <col min="8707" max="8707" width="9.5546875" style="16" customWidth="1"/>
    <col min="8708" max="8709" width="9.109375" style="16"/>
    <col min="8710" max="8710" width="11.44140625" style="16" customWidth="1"/>
    <col min="8711" max="8711" width="18.5546875" style="16" customWidth="1"/>
    <col min="8712" max="8712" width="21.33203125" style="16" bestFit="1" customWidth="1"/>
    <col min="8713" max="8713" width="9.109375" style="16"/>
    <col min="8714" max="8714" width="14.5546875" style="16" customWidth="1"/>
    <col min="8715" max="8715" width="17.6640625" style="16" customWidth="1"/>
    <col min="8716" max="8716" width="7.109375" style="16" customWidth="1"/>
    <col min="8717" max="8717" width="15.5546875" style="16" customWidth="1"/>
    <col min="8718" max="8718" width="11.44140625" style="16" customWidth="1"/>
    <col min="8719" max="8719" width="9.109375" style="16"/>
    <col min="8720" max="8720" width="10.44140625" style="16" customWidth="1"/>
    <col min="8721" max="8961" width="9.109375" style="16"/>
    <col min="8962" max="8962" width="12" style="16" customWidth="1"/>
    <col min="8963" max="8963" width="9.5546875" style="16" customWidth="1"/>
    <col min="8964" max="8965" width="9.109375" style="16"/>
    <col min="8966" max="8966" width="11.44140625" style="16" customWidth="1"/>
    <col min="8967" max="8967" width="18.5546875" style="16" customWidth="1"/>
    <col min="8968" max="8968" width="21.33203125" style="16" bestFit="1" customWidth="1"/>
    <col min="8969" max="8969" width="9.109375" style="16"/>
    <col min="8970" max="8970" width="14.5546875" style="16" customWidth="1"/>
    <col min="8971" max="8971" width="17.6640625" style="16" customWidth="1"/>
    <col min="8972" max="8972" width="7.109375" style="16" customWidth="1"/>
    <col min="8973" max="8973" width="15.5546875" style="16" customWidth="1"/>
    <col min="8974" max="8974" width="11.44140625" style="16" customWidth="1"/>
    <col min="8975" max="8975" width="9.109375" style="16"/>
    <col min="8976" max="8976" width="10.44140625" style="16" customWidth="1"/>
    <col min="8977" max="9217" width="9.109375" style="16"/>
    <col min="9218" max="9218" width="12" style="16" customWidth="1"/>
    <col min="9219" max="9219" width="9.5546875" style="16" customWidth="1"/>
    <col min="9220" max="9221" width="9.109375" style="16"/>
    <col min="9222" max="9222" width="11.44140625" style="16" customWidth="1"/>
    <col min="9223" max="9223" width="18.5546875" style="16" customWidth="1"/>
    <col min="9224" max="9224" width="21.33203125" style="16" bestFit="1" customWidth="1"/>
    <col min="9225" max="9225" width="9.109375" style="16"/>
    <col min="9226" max="9226" width="14.5546875" style="16" customWidth="1"/>
    <col min="9227" max="9227" width="17.6640625" style="16" customWidth="1"/>
    <col min="9228" max="9228" width="7.109375" style="16" customWidth="1"/>
    <col min="9229" max="9229" width="15.5546875" style="16" customWidth="1"/>
    <col min="9230" max="9230" width="11.44140625" style="16" customWidth="1"/>
    <col min="9231" max="9231" width="9.109375" style="16"/>
    <col min="9232" max="9232" width="10.44140625" style="16" customWidth="1"/>
    <col min="9233" max="9473" width="9.109375" style="16"/>
    <col min="9474" max="9474" width="12" style="16" customWidth="1"/>
    <col min="9475" max="9475" width="9.5546875" style="16" customWidth="1"/>
    <col min="9476" max="9477" width="9.109375" style="16"/>
    <col min="9478" max="9478" width="11.44140625" style="16" customWidth="1"/>
    <col min="9479" max="9479" width="18.5546875" style="16" customWidth="1"/>
    <col min="9480" max="9480" width="21.33203125" style="16" bestFit="1" customWidth="1"/>
    <col min="9481" max="9481" width="9.109375" style="16"/>
    <col min="9482" max="9482" width="14.5546875" style="16" customWidth="1"/>
    <col min="9483" max="9483" width="17.6640625" style="16" customWidth="1"/>
    <col min="9484" max="9484" width="7.109375" style="16" customWidth="1"/>
    <col min="9485" max="9485" width="15.5546875" style="16" customWidth="1"/>
    <col min="9486" max="9486" width="11.44140625" style="16" customWidth="1"/>
    <col min="9487" max="9487" width="9.109375" style="16"/>
    <col min="9488" max="9488" width="10.44140625" style="16" customWidth="1"/>
    <col min="9489" max="9729" width="9.109375" style="16"/>
    <col min="9730" max="9730" width="12" style="16" customWidth="1"/>
    <col min="9731" max="9731" width="9.5546875" style="16" customWidth="1"/>
    <col min="9732" max="9733" width="9.109375" style="16"/>
    <col min="9734" max="9734" width="11.44140625" style="16" customWidth="1"/>
    <col min="9735" max="9735" width="18.5546875" style="16" customWidth="1"/>
    <col min="9736" max="9736" width="21.33203125" style="16" bestFit="1" customWidth="1"/>
    <col min="9737" max="9737" width="9.109375" style="16"/>
    <col min="9738" max="9738" width="14.5546875" style="16" customWidth="1"/>
    <col min="9739" max="9739" width="17.6640625" style="16" customWidth="1"/>
    <col min="9740" max="9740" width="7.109375" style="16" customWidth="1"/>
    <col min="9741" max="9741" width="15.5546875" style="16" customWidth="1"/>
    <col min="9742" max="9742" width="11.44140625" style="16" customWidth="1"/>
    <col min="9743" max="9743" width="9.109375" style="16"/>
    <col min="9744" max="9744" width="10.44140625" style="16" customWidth="1"/>
    <col min="9745" max="9985" width="9.109375" style="16"/>
    <col min="9986" max="9986" width="12" style="16" customWidth="1"/>
    <col min="9987" max="9987" width="9.5546875" style="16" customWidth="1"/>
    <col min="9988" max="9989" width="9.109375" style="16"/>
    <col min="9990" max="9990" width="11.44140625" style="16" customWidth="1"/>
    <col min="9991" max="9991" width="18.5546875" style="16" customWidth="1"/>
    <col min="9992" max="9992" width="21.33203125" style="16" bestFit="1" customWidth="1"/>
    <col min="9993" max="9993" width="9.109375" style="16"/>
    <col min="9994" max="9994" width="14.5546875" style="16" customWidth="1"/>
    <col min="9995" max="9995" width="17.6640625" style="16" customWidth="1"/>
    <col min="9996" max="9996" width="7.109375" style="16" customWidth="1"/>
    <col min="9997" max="9997" width="15.5546875" style="16" customWidth="1"/>
    <col min="9998" max="9998" width="11.44140625" style="16" customWidth="1"/>
    <col min="9999" max="9999" width="9.109375" style="16"/>
    <col min="10000" max="10000" width="10.44140625" style="16" customWidth="1"/>
    <col min="10001" max="10241" width="9.109375" style="16"/>
    <col min="10242" max="10242" width="12" style="16" customWidth="1"/>
    <col min="10243" max="10243" width="9.5546875" style="16" customWidth="1"/>
    <col min="10244" max="10245" width="9.109375" style="16"/>
    <col min="10246" max="10246" width="11.44140625" style="16" customWidth="1"/>
    <col min="10247" max="10247" width="18.5546875" style="16" customWidth="1"/>
    <col min="10248" max="10248" width="21.33203125" style="16" bestFit="1" customWidth="1"/>
    <col min="10249" max="10249" width="9.109375" style="16"/>
    <col min="10250" max="10250" width="14.5546875" style="16" customWidth="1"/>
    <col min="10251" max="10251" width="17.6640625" style="16" customWidth="1"/>
    <col min="10252" max="10252" width="7.109375" style="16" customWidth="1"/>
    <col min="10253" max="10253" width="15.5546875" style="16" customWidth="1"/>
    <col min="10254" max="10254" width="11.44140625" style="16" customWidth="1"/>
    <col min="10255" max="10255" width="9.109375" style="16"/>
    <col min="10256" max="10256" width="10.44140625" style="16" customWidth="1"/>
    <col min="10257" max="10497" width="9.109375" style="16"/>
    <col min="10498" max="10498" width="12" style="16" customWidth="1"/>
    <col min="10499" max="10499" width="9.5546875" style="16" customWidth="1"/>
    <col min="10500" max="10501" width="9.109375" style="16"/>
    <col min="10502" max="10502" width="11.44140625" style="16" customWidth="1"/>
    <col min="10503" max="10503" width="18.5546875" style="16" customWidth="1"/>
    <col min="10504" max="10504" width="21.33203125" style="16" bestFit="1" customWidth="1"/>
    <col min="10505" max="10505" width="9.109375" style="16"/>
    <col min="10506" max="10506" width="14.5546875" style="16" customWidth="1"/>
    <col min="10507" max="10507" width="17.6640625" style="16" customWidth="1"/>
    <col min="10508" max="10508" width="7.109375" style="16" customWidth="1"/>
    <col min="10509" max="10509" width="15.5546875" style="16" customWidth="1"/>
    <col min="10510" max="10510" width="11.44140625" style="16" customWidth="1"/>
    <col min="10511" max="10511" width="9.109375" style="16"/>
    <col min="10512" max="10512" width="10.44140625" style="16" customWidth="1"/>
    <col min="10513" max="10753" width="9.109375" style="16"/>
    <col min="10754" max="10754" width="12" style="16" customWidth="1"/>
    <col min="10755" max="10755" width="9.5546875" style="16" customWidth="1"/>
    <col min="10756" max="10757" width="9.109375" style="16"/>
    <col min="10758" max="10758" width="11.44140625" style="16" customWidth="1"/>
    <col min="10759" max="10759" width="18.5546875" style="16" customWidth="1"/>
    <col min="10760" max="10760" width="21.33203125" style="16" bestFit="1" customWidth="1"/>
    <col min="10761" max="10761" width="9.109375" style="16"/>
    <col min="10762" max="10762" width="14.5546875" style="16" customWidth="1"/>
    <col min="10763" max="10763" width="17.6640625" style="16" customWidth="1"/>
    <col min="10764" max="10764" width="7.109375" style="16" customWidth="1"/>
    <col min="10765" max="10765" width="15.5546875" style="16" customWidth="1"/>
    <col min="10766" max="10766" width="11.44140625" style="16" customWidth="1"/>
    <col min="10767" max="10767" width="9.109375" style="16"/>
    <col min="10768" max="10768" width="10.44140625" style="16" customWidth="1"/>
    <col min="10769" max="11009" width="9.109375" style="16"/>
    <col min="11010" max="11010" width="12" style="16" customWidth="1"/>
    <col min="11011" max="11011" width="9.5546875" style="16" customWidth="1"/>
    <col min="11012" max="11013" width="9.109375" style="16"/>
    <col min="11014" max="11014" width="11.44140625" style="16" customWidth="1"/>
    <col min="11015" max="11015" width="18.5546875" style="16" customWidth="1"/>
    <col min="11016" max="11016" width="21.33203125" style="16" bestFit="1" customWidth="1"/>
    <col min="11017" max="11017" width="9.109375" style="16"/>
    <col min="11018" max="11018" width="14.5546875" style="16" customWidth="1"/>
    <col min="11019" max="11019" width="17.6640625" style="16" customWidth="1"/>
    <col min="11020" max="11020" width="7.109375" style="16" customWidth="1"/>
    <col min="11021" max="11021" width="15.5546875" style="16" customWidth="1"/>
    <col min="11022" max="11022" width="11.44140625" style="16" customWidth="1"/>
    <col min="11023" max="11023" width="9.109375" style="16"/>
    <col min="11024" max="11024" width="10.44140625" style="16" customWidth="1"/>
    <col min="11025" max="11265" width="9.109375" style="16"/>
    <col min="11266" max="11266" width="12" style="16" customWidth="1"/>
    <col min="11267" max="11267" width="9.5546875" style="16" customWidth="1"/>
    <col min="11268" max="11269" width="9.109375" style="16"/>
    <col min="11270" max="11270" width="11.44140625" style="16" customWidth="1"/>
    <col min="11271" max="11271" width="18.5546875" style="16" customWidth="1"/>
    <col min="11272" max="11272" width="21.33203125" style="16" bestFit="1" customWidth="1"/>
    <col min="11273" max="11273" width="9.109375" style="16"/>
    <col min="11274" max="11274" width="14.5546875" style="16" customWidth="1"/>
    <col min="11275" max="11275" width="17.6640625" style="16" customWidth="1"/>
    <col min="11276" max="11276" width="7.109375" style="16" customWidth="1"/>
    <col min="11277" max="11277" width="15.5546875" style="16" customWidth="1"/>
    <col min="11278" max="11278" width="11.44140625" style="16" customWidth="1"/>
    <col min="11279" max="11279" width="9.109375" style="16"/>
    <col min="11280" max="11280" width="10.44140625" style="16" customWidth="1"/>
    <col min="11281" max="11521" width="9.109375" style="16"/>
    <col min="11522" max="11522" width="12" style="16" customWidth="1"/>
    <col min="11523" max="11523" width="9.5546875" style="16" customWidth="1"/>
    <col min="11524" max="11525" width="9.109375" style="16"/>
    <col min="11526" max="11526" width="11.44140625" style="16" customWidth="1"/>
    <col min="11527" max="11527" width="18.5546875" style="16" customWidth="1"/>
    <col min="11528" max="11528" width="21.33203125" style="16" bestFit="1" customWidth="1"/>
    <col min="11529" max="11529" width="9.109375" style="16"/>
    <col min="11530" max="11530" width="14.5546875" style="16" customWidth="1"/>
    <col min="11531" max="11531" width="17.6640625" style="16" customWidth="1"/>
    <col min="11532" max="11532" width="7.109375" style="16" customWidth="1"/>
    <col min="11533" max="11533" width="15.5546875" style="16" customWidth="1"/>
    <col min="11534" max="11534" width="11.44140625" style="16" customWidth="1"/>
    <col min="11535" max="11535" width="9.109375" style="16"/>
    <col min="11536" max="11536" width="10.44140625" style="16" customWidth="1"/>
    <col min="11537" max="11777" width="9.109375" style="16"/>
    <col min="11778" max="11778" width="12" style="16" customWidth="1"/>
    <col min="11779" max="11779" width="9.5546875" style="16" customWidth="1"/>
    <col min="11780" max="11781" width="9.109375" style="16"/>
    <col min="11782" max="11782" width="11.44140625" style="16" customWidth="1"/>
    <col min="11783" max="11783" width="18.5546875" style="16" customWidth="1"/>
    <col min="11784" max="11784" width="21.33203125" style="16" bestFit="1" customWidth="1"/>
    <col min="11785" max="11785" width="9.109375" style="16"/>
    <col min="11786" max="11786" width="14.5546875" style="16" customWidth="1"/>
    <col min="11787" max="11787" width="17.6640625" style="16" customWidth="1"/>
    <col min="11788" max="11788" width="7.109375" style="16" customWidth="1"/>
    <col min="11789" max="11789" width="15.5546875" style="16" customWidth="1"/>
    <col min="11790" max="11790" width="11.44140625" style="16" customWidth="1"/>
    <col min="11791" max="11791" width="9.109375" style="16"/>
    <col min="11792" max="11792" width="10.44140625" style="16" customWidth="1"/>
    <col min="11793" max="12033" width="9.109375" style="16"/>
    <col min="12034" max="12034" width="12" style="16" customWidth="1"/>
    <col min="12035" max="12035" width="9.5546875" style="16" customWidth="1"/>
    <col min="12036" max="12037" width="9.109375" style="16"/>
    <col min="12038" max="12038" width="11.44140625" style="16" customWidth="1"/>
    <col min="12039" max="12039" width="18.5546875" style="16" customWidth="1"/>
    <col min="12040" max="12040" width="21.33203125" style="16" bestFit="1" customWidth="1"/>
    <col min="12041" max="12041" width="9.109375" style="16"/>
    <col min="12042" max="12042" width="14.5546875" style="16" customWidth="1"/>
    <col min="12043" max="12043" width="17.6640625" style="16" customWidth="1"/>
    <col min="12044" max="12044" width="7.109375" style="16" customWidth="1"/>
    <col min="12045" max="12045" width="15.5546875" style="16" customWidth="1"/>
    <col min="12046" max="12046" width="11.44140625" style="16" customWidth="1"/>
    <col min="12047" max="12047" width="9.109375" style="16"/>
    <col min="12048" max="12048" width="10.44140625" style="16" customWidth="1"/>
    <col min="12049" max="12289" width="9.109375" style="16"/>
    <col min="12290" max="12290" width="12" style="16" customWidth="1"/>
    <col min="12291" max="12291" width="9.5546875" style="16" customWidth="1"/>
    <col min="12292" max="12293" width="9.109375" style="16"/>
    <col min="12294" max="12294" width="11.44140625" style="16" customWidth="1"/>
    <col min="12295" max="12295" width="18.5546875" style="16" customWidth="1"/>
    <col min="12296" max="12296" width="21.33203125" style="16" bestFit="1" customWidth="1"/>
    <col min="12297" max="12297" width="9.109375" style="16"/>
    <col min="12298" max="12298" width="14.5546875" style="16" customWidth="1"/>
    <col min="12299" max="12299" width="17.6640625" style="16" customWidth="1"/>
    <col min="12300" max="12300" width="7.109375" style="16" customWidth="1"/>
    <col min="12301" max="12301" width="15.5546875" style="16" customWidth="1"/>
    <col min="12302" max="12302" width="11.44140625" style="16" customWidth="1"/>
    <col min="12303" max="12303" width="9.109375" style="16"/>
    <col min="12304" max="12304" width="10.44140625" style="16" customWidth="1"/>
    <col min="12305" max="12545" width="9.109375" style="16"/>
    <col min="12546" max="12546" width="12" style="16" customWidth="1"/>
    <col min="12547" max="12547" width="9.5546875" style="16" customWidth="1"/>
    <col min="12548" max="12549" width="9.109375" style="16"/>
    <col min="12550" max="12550" width="11.44140625" style="16" customWidth="1"/>
    <col min="12551" max="12551" width="18.5546875" style="16" customWidth="1"/>
    <col min="12552" max="12552" width="21.33203125" style="16" bestFit="1" customWidth="1"/>
    <col min="12553" max="12553" width="9.109375" style="16"/>
    <col min="12554" max="12554" width="14.5546875" style="16" customWidth="1"/>
    <col min="12555" max="12555" width="17.6640625" style="16" customWidth="1"/>
    <col min="12556" max="12556" width="7.109375" style="16" customWidth="1"/>
    <col min="12557" max="12557" width="15.5546875" style="16" customWidth="1"/>
    <col min="12558" max="12558" width="11.44140625" style="16" customWidth="1"/>
    <col min="12559" max="12559" width="9.109375" style="16"/>
    <col min="12560" max="12560" width="10.44140625" style="16" customWidth="1"/>
    <col min="12561" max="12801" width="9.109375" style="16"/>
    <col min="12802" max="12802" width="12" style="16" customWidth="1"/>
    <col min="12803" max="12803" width="9.5546875" style="16" customWidth="1"/>
    <col min="12804" max="12805" width="9.109375" style="16"/>
    <col min="12806" max="12806" width="11.44140625" style="16" customWidth="1"/>
    <col min="12807" max="12807" width="18.5546875" style="16" customWidth="1"/>
    <col min="12808" max="12808" width="21.33203125" style="16" bestFit="1" customWidth="1"/>
    <col min="12809" max="12809" width="9.109375" style="16"/>
    <col min="12810" max="12810" width="14.5546875" style="16" customWidth="1"/>
    <col min="12811" max="12811" width="17.6640625" style="16" customWidth="1"/>
    <col min="12812" max="12812" width="7.109375" style="16" customWidth="1"/>
    <col min="12813" max="12813" width="15.5546875" style="16" customWidth="1"/>
    <col min="12814" max="12814" width="11.44140625" style="16" customWidth="1"/>
    <col min="12815" max="12815" width="9.109375" style="16"/>
    <col min="12816" max="12816" width="10.44140625" style="16" customWidth="1"/>
    <col min="12817" max="13057" width="9.109375" style="16"/>
    <col min="13058" max="13058" width="12" style="16" customWidth="1"/>
    <col min="13059" max="13059" width="9.5546875" style="16" customWidth="1"/>
    <col min="13060" max="13061" width="9.109375" style="16"/>
    <col min="13062" max="13062" width="11.44140625" style="16" customWidth="1"/>
    <col min="13063" max="13063" width="18.5546875" style="16" customWidth="1"/>
    <col min="13064" max="13064" width="21.33203125" style="16" bestFit="1" customWidth="1"/>
    <col min="13065" max="13065" width="9.109375" style="16"/>
    <col min="13066" max="13066" width="14.5546875" style="16" customWidth="1"/>
    <col min="13067" max="13067" width="17.6640625" style="16" customWidth="1"/>
    <col min="13068" max="13068" width="7.109375" style="16" customWidth="1"/>
    <col min="13069" max="13069" width="15.5546875" style="16" customWidth="1"/>
    <col min="13070" max="13070" width="11.44140625" style="16" customWidth="1"/>
    <col min="13071" max="13071" width="9.109375" style="16"/>
    <col min="13072" max="13072" width="10.44140625" style="16" customWidth="1"/>
    <col min="13073" max="13313" width="9.109375" style="16"/>
    <col min="13314" max="13314" width="12" style="16" customWidth="1"/>
    <col min="13315" max="13315" width="9.5546875" style="16" customWidth="1"/>
    <col min="13316" max="13317" width="9.109375" style="16"/>
    <col min="13318" max="13318" width="11.44140625" style="16" customWidth="1"/>
    <col min="13319" max="13319" width="18.5546875" style="16" customWidth="1"/>
    <col min="13320" max="13320" width="21.33203125" style="16" bestFit="1" customWidth="1"/>
    <col min="13321" max="13321" width="9.109375" style="16"/>
    <col min="13322" max="13322" width="14.5546875" style="16" customWidth="1"/>
    <col min="13323" max="13323" width="17.6640625" style="16" customWidth="1"/>
    <col min="13324" max="13324" width="7.109375" style="16" customWidth="1"/>
    <col min="13325" max="13325" width="15.5546875" style="16" customWidth="1"/>
    <col min="13326" max="13326" width="11.44140625" style="16" customWidth="1"/>
    <col min="13327" max="13327" width="9.109375" style="16"/>
    <col min="13328" max="13328" width="10.44140625" style="16" customWidth="1"/>
    <col min="13329" max="13569" width="9.109375" style="16"/>
    <col min="13570" max="13570" width="12" style="16" customWidth="1"/>
    <col min="13571" max="13571" width="9.5546875" style="16" customWidth="1"/>
    <col min="13572" max="13573" width="9.109375" style="16"/>
    <col min="13574" max="13574" width="11.44140625" style="16" customWidth="1"/>
    <col min="13575" max="13575" width="18.5546875" style="16" customWidth="1"/>
    <col min="13576" max="13576" width="21.33203125" style="16" bestFit="1" customWidth="1"/>
    <col min="13577" max="13577" width="9.109375" style="16"/>
    <col min="13578" max="13578" width="14.5546875" style="16" customWidth="1"/>
    <col min="13579" max="13579" width="17.6640625" style="16" customWidth="1"/>
    <col min="13580" max="13580" width="7.109375" style="16" customWidth="1"/>
    <col min="13581" max="13581" width="15.5546875" style="16" customWidth="1"/>
    <col min="13582" max="13582" width="11.44140625" style="16" customWidth="1"/>
    <col min="13583" max="13583" width="9.109375" style="16"/>
    <col min="13584" max="13584" width="10.44140625" style="16" customWidth="1"/>
    <col min="13585" max="13825" width="9.109375" style="16"/>
    <col min="13826" max="13826" width="12" style="16" customWidth="1"/>
    <col min="13827" max="13827" width="9.5546875" style="16" customWidth="1"/>
    <col min="13828" max="13829" width="9.109375" style="16"/>
    <col min="13830" max="13830" width="11.44140625" style="16" customWidth="1"/>
    <col min="13831" max="13831" width="18.5546875" style="16" customWidth="1"/>
    <col min="13832" max="13832" width="21.33203125" style="16" bestFit="1" customWidth="1"/>
    <col min="13833" max="13833" width="9.109375" style="16"/>
    <col min="13834" max="13834" width="14.5546875" style="16" customWidth="1"/>
    <col min="13835" max="13835" width="17.6640625" style="16" customWidth="1"/>
    <col min="13836" max="13836" width="7.109375" style="16" customWidth="1"/>
    <col min="13837" max="13837" width="15.5546875" style="16" customWidth="1"/>
    <col min="13838" max="13838" width="11.44140625" style="16" customWidth="1"/>
    <col min="13839" max="13839" width="9.109375" style="16"/>
    <col min="13840" max="13840" width="10.44140625" style="16" customWidth="1"/>
    <col min="13841" max="14081" width="9.109375" style="16"/>
    <col min="14082" max="14082" width="12" style="16" customWidth="1"/>
    <col min="14083" max="14083" width="9.5546875" style="16" customWidth="1"/>
    <col min="14084" max="14085" width="9.109375" style="16"/>
    <col min="14086" max="14086" width="11.44140625" style="16" customWidth="1"/>
    <col min="14087" max="14087" width="18.5546875" style="16" customWidth="1"/>
    <col min="14088" max="14088" width="21.33203125" style="16" bestFit="1" customWidth="1"/>
    <col min="14089" max="14089" width="9.109375" style="16"/>
    <col min="14090" max="14090" width="14.5546875" style="16" customWidth="1"/>
    <col min="14091" max="14091" width="17.6640625" style="16" customWidth="1"/>
    <col min="14092" max="14092" width="7.109375" style="16" customWidth="1"/>
    <col min="14093" max="14093" width="15.5546875" style="16" customWidth="1"/>
    <col min="14094" max="14094" width="11.44140625" style="16" customWidth="1"/>
    <col min="14095" max="14095" width="9.109375" style="16"/>
    <col min="14096" max="14096" width="10.44140625" style="16" customWidth="1"/>
    <col min="14097" max="14337" width="9.109375" style="16"/>
    <col min="14338" max="14338" width="12" style="16" customWidth="1"/>
    <col min="14339" max="14339" width="9.5546875" style="16" customWidth="1"/>
    <col min="14340" max="14341" width="9.109375" style="16"/>
    <col min="14342" max="14342" width="11.44140625" style="16" customWidth="1"/>
    <col min="14343" max="14343" width="18.5546875" style="16" customWidth="1"/>
    <col min="14344" max="14344" width="21.33203125" style="16" bestFit="1" customWidth="1"/>
    <col min="14345" max="14345" width="9.109375" style="16"/>
    <col min="14346" max="14346" width="14.5546875" style="16" customWidth="1"/>
    <col min="14347" max="14347" width="17.6640625" style="16" customWidth="1"/>
    <col min="14348" max="14348" width="7.109375" style="16" customWidth="1"/>
    <col min="14349" max="14349" width="15.5546875" style="16" customWidth="1"/>
    <col min="14350" max="14350" width="11.44140625" style="16" customWidth="1"/>
    <col min="14351" max="14351" width="9.109375" style="16"/>
    <col min="14352" max="14352" width="10.44140625" style="16" customWidth="1"/>
    <col min="14353" max="14593" width="9.109375" style="16"/>
    <col min="14594" max="14594" width="12" style="16" customWidth="1"/>
    <col min="14595" max="14595" width="9.5546875" style="16" customWidth="1"/>
    <col min="14596" max="14597" width="9.109375" style="16"/>
    <col min="14598" max="14598" width="11.44140625" style="16" customWidth="1"/>
    <col min="14599" max="14599" width="18.5546875" style="16" customWidth="1"/>
    <col min="14600" max="14600" width="21.33203125" style="16" bestFit="1" customWidth="1"/>
    <col min="14601" max="14601" width="9.109375" style="16"/>
    <col min="14602" max="14602" width="14.5546875" style="16" customWidth="1"/>
    <col min="14603" max="14603" width="17.6640625" style="16" customWidth="1"/>
    <col min="14604" max="14604" width="7.109375" style="16" customWidth="1"/>
    <col min="14605" max="14605" width="15.5546875" style="16" customWidth="1"/>
    <col min="14606" max="14606" width="11.44140625" style="16" customWidth="1"/>
    <col min="14607" max="14607" width="9.109375" style="16"/>
    <col min="14608" max="14608" width="10.44140625" style="16" customWidth="1"/>
    <col min="14609" max="14849" width="9.109375" style="16"/>
    <col min="14850" max="14850" width="12" style="16" customWidth="1"/>
    <col min="14851" max="14851" width="9.5546875" style="16" customWidth="1"/>
    <col min="14852" max="14853" width="9.109375" style="16"/>
    <col min="14854" max="14854" width="11.44140625" style="16" customWidth="1"/>
    <col min="14855" max="14855" width="18.5546875" style="16" customWidth="1"/>
    <col min="14856" max="14856" width="21.33203125" style="16" bestFit="1" customWidth="1"/>
    <col min="14857" max="14857" width="9.109375" style="16"/>
    <col min="14858" max="14858" width="14.5546875" style="16" customWidth="1"/>
    <col min="14859" max="14859" width="17.6640625" style="16" customWidth="1"/>
    <col min="14860" max="14860" width="7.109375" style="16" customWidth="1"/>
    <col min="14861" max="14861" width="15.5546875" style="16" customWidth="1"/>
    <col min="14862" max="14862" width="11.44140625" style="16" customWidth="1"/>
    <col min="14863" max="14863" width="9.109375" style="16"/>
    <col min="14864" max="14864" width="10.44140625" style="16" customWidth="1"/>
    <col min="14865" max="15105" width="9.109375" style="16"/>
    <col min="15106" max="15106" width="12" style="16" customWidth="1"/>
    <col min="15107" max="15107" width="9.5546875" style="16" customWidth="1"/>
    <col min="15108" max="15109" width="9.109375" style="16"/>
    <col min="15110" max="15110" width="11.44140625" style="16" customWidth="1"/>
    <col min="15111" max="15111" width="18.5546875" style="16" customWidth="1"/>
    <col min="15112" max="15112" width="21.33203125" style="16" bestFit="1" customWidth="1"/>
    <col min="15113" max="15113" width="9.109375" style="16"/>
    <col min="15114" max="15114" width="14.5546875" style="16" customWidth="1"/>
    <col min="15115" max="15115" width="17.6640625" style="16" customWidth="1"/>
    <col min="15116" max="15116" width="7.109375" style="16" customWidth="1"/>
    <col min="15117" max="15117" width="15.5546875" style="16" customWidth="1"/>
    <col min="15118" max="15118" width="11.44140625" style="16" customWidth="1"/>
    <col min="15119" max="15119" width="9.109375" style="16"/>
    <col min="15120" max="15120" width="10.44140625" style="16" customWidth="1"/>
    <col min="15121" max="15361" width="9.109375" style="16"/>
    <col min="15362" max="15362" width="12" style="16" customWidth="1"/>
    <col min="15363" max="15363" width="9.5546875" style="16" customWidth="1"/>
    <col min="15364" max="15365" width="9.109375" style="16"/>
    <col min="15366" max="15366" width="11.44140625" style="16" customWidth="1"/>
    <col min="15367" max="15367" width="18.5546875" style="16" customWidth="1"/>
    <col min="15368" max="15368" width="21.33203125" style="16" bestFit="1" customWidth="1"/>
    <col min="15369" max="15369" width="9.109375" style="16"/>
    <col min="15370" max="15370" width="14.5546875" style="16" customWidth="1"/>
    <col min="15371" max="15371" width="17.6640625" style="16" customWidth="1"/>
    <col min="15372" max="15372" width="7.109375" style="16" customWidth="1"/>
    <col min="15373" max="15373" width="15.5546875" style="16" customWidth="1"/>
    <col min="15374" max="15374" width="11.44140625" style="16" customWidth="1"/>
    <col min="15375" max="15375" width="9.109375" style="16"/>
    <col min="15376" max="15376" width="10.44140625" style="16" customWidth="1"/>
    <col min="15377" max="15617" width="9.109375" style="16"/>
    <col min="15618" max="15618" width="12" style="16" customWidth="1"/>
    <col min="15619" max="15619" width="9.5546875" style="16" customWidth="1"/>
    <col min="15620" max="15621" width="9.109375" style="16"/>
    <col min="15622" max="15622" width="11.44140625" style="16" customWidth="1"/>
    <col min="15623" max="15623" width="18.5546875" style="16" customWidth="1"/>
    <col min="15624" max="15624" width="21.33203125" style="16" bestFit="1" customWidth="1"/>
    <col min="15625" max="15625" width="9.109375" style="16"/>
    <col min="15626" max="15626" width="14.5546875" style="16" customWidth="1"/>
    <col min="15627" max="15627" width="17.6640625" style="16" customWidth="1"/>
    <col min="15628" max="15628" width="7.109375" style="16" customWidth="1"/>
    <col min="15629" max="15629" width="15.5546875" style="16" customWidth="1"/>
    <col min="15630" max="15630" width="11.44140625" style="16" customWidth="1"/>
    <col min="15631" max="15631" width="9.109375" style="16"/>
    <col min="15632" max="15632" width="10.44140625" style="16" customWidth="1"/>
    <col min="15633" max="15873" width="9.109375" style="16"/>
    <col min="15874" max="15874" width="12" style="16" customWidth="1"/>
    <col min="15875" max="15875" width="9.5546875" style="16" customWidth="1"/>
    <col min="15876" max="15877" width="9.109375" style="16"/>
    <col min="15878" max="15878" width="11.44140625" style="16" customWidth="1"/>
    <col min="15879" max="15879" width="18.5546875" style="16" customWidth="1"/>
    <col min="15880" max="15880" width="21.33203125" style="16" bestFit="1" customWidth="1"/>
    <col min="15881" max="15881" width="9.109375" style="16"/>
    <col min="15882" max="15882" width="14.5546875" style="16" customWidth="1"/>
    <col min="15883" max="15883" width="17.6640625" style="16" customWidth="1"/>
    <col min="15884" max="15884" width="7.109375" style="16" customWidth="1"/>
    <col min="15885" max="15885" width="15.5546875" style="16" customWidth="1"/>
    <col min="15886" max="15886" width="11.44140625" style="16" customWidth="1"/>
    <col min="15887" max="15887" width="9.109375" style="16"/>
    <col min="15888" max="15888" width="10.44140625" style="16" customWidth="1"/>
    <col min="15889" max="16129" width="9.109375" style="16"/>
    <col min="16130" max="16130" width="12" style="16" customWidth="1"/>
    <col min="16131" max="16131" width="9.5546875" style="16" customWidth="1"/>
    <col min="16132" max="16133" width="9.109375" style="16"/>
    <col min="16134" max="16134" width="11.44140625" style="16" customWidth="1"/>
    <col min="16135" max="16135" width="18.5546875" style="16" customWidth="1"/>
    <col min="16136" max="16136" width="21.33203125" style="16" bestFit="1" customWidth="1"/>
    <col min="16137" max="16137" width="9.109375" style="16"/>
    <col min="16138" max="16138" width="14.5546875" style="16" customWidth="1"/>
    <col min="16139" max="16139" width="17.6640625" style="16" customWidth="1"/>
    <col min="16140" max="16140" width="7.109375" style="16" customWidth="1"/>
    <col min="16141" max="16141" width="15.5546875" style="16" customWidth="1"/>
    <col min="16142" max="16142" width="11.44140625" style="16" customWidth="1"/>
    <col min="16143" max="16143" width="9.109375" style="16"/>
    <col min="16144" max="16144" width="10.44140625" style="16" customWidth="1"/>
    <col min="16145" max="16384" width="9.109375" style="16"/>
  </cols>
  <sheetData>
    <row r="1" spans="1:16" ht="15" customHeight="1">
      <c r="A1" s="1166" t="s">
        <v>144</v>
      </c>
      <c r="B1" s="1167"/>
      <c r="C1" s="1167"/>
      <c r="D1" s="1167"/>
      <c r="E1" s="1167"/>
      <c r="F1" s="1167"/>
      <c r="G1" s="1167"/>
      <c r="H1" s="1167"/>
      <c r="I1" s="1168"/>
      <c r="J1" s="1169" t="s">
        <v>145</v>
      </c>
      <c r="K1" s="1170"/>
      <c r="L1" s="1170"/>
      <c r="M1" s="1171"/>
      <c r="N1" s="1169" t="s">
        <v>146</v>
      </c>
      <c r="O1" s="1170"/>
      <c r="P1" s="1175"/>
    </row>
    <row r="2" spans="1:16" ht="15" customHeight="1">
      <c r="A2" s="1188" t="s">
        <v>371</v>
      </c>
      <c r="B2" s="1189"/>
      <c r="C2" s="1190" t="str">
        <f>'F1 Forecast Consultant'!C3</f>
        <v>WESTERN</v>
      </c>
      <c r="D2" s="1190"/>
      <c r="E2" s="428"/>
      <c r="F2" s="428"/>
      <c r="G2" s="428"/>
      <c r="H2" s="428"/>
      <c r="I2" s="429"/>
      <c r="J2" s="1172"/>
      <c r="K2" s="1173"/>
      <c r="L2" s="1173"/>
      <c r="M2" s="1174"/>
      <c r="N2" s="1172"/>
      <c r="O2" s="1173"/>
      <c r="P2" s="1176"/>
    </row>
    <row r="3" spans="1:16" ht="15" customHeight="1">
      <c r="A3" s="1177" t="s">
        <v>147</v>
      </c>
      <c r="B3" s="1178"/>
      <c r="C3" s="1181" t="str">
        <f>'F1 Forecast Combined'!B12</f>
        <v/>
      </c>
      <c r="D3" s="1178"/>
      <c r="E3" s="1178"/>
      <c r="F3" s="1178"/>
      <c r="G3" s="1178"/>
      <c r="H3" s="1178"/>
      <c r="I3" s="1182"/>
      <c r="J3" s="1184" t="s">
        <v>148</v>
      </c>
      <c r="K3" s="1185"/>
      <c r="L3" s="1191" t="str">
        <f>" W12/9/2 -  " &amp; K6</f>
        <v xml:space="preserve"> W12/9/2 -  X.002-180-2024/1RF</v>
      </c>
      <c r="M3" s="1192"/>
      <c r="N3" s="1192"/>
      <c r="O3" s="1192"/>
      <c r="P3" s="1193"/>
    </row>
    <row r="4" spans="1:16" ht="15" customHeight="1">
      <c r="A4" s="1179"/>
      <c r="B4" s="1180"/>
      <c r="C4" s="1180"/>
      <c r="D4" s="1180"/>
      <c r="E4" s="1180"/>
      <c r="F4" s="1180"/>
      <c r="G4" s="1180"/>
      <c r="H4" s="1180"/>
      <c r="I4" s="1183"/>
      <c r="J4" s="1186"/>
      <c r="K4" s="1187"/>
      <c r="L4" s="1194"/>
      <c r="M4" s="1195"/>
      <c r="N4" s="1195"/>
      <c r="O4" s="1195"/>
      <c r="P4" s="1196"/>
    </row>
    <row r="5" spans="1:16" ht="14.25" customHeight="1">
      <c r="A5" s="1177" t="s">
        <v>149</v>
      </c>
      <c r="B5" s="1178"/>
      <c r="C5" s="1217"/>
      <c r="D5" s="1217"/>
      <c r="E5" s="1217"/>
      <c r="F5" s="1217"/>
      <c r="G5" s="1217"/>
      <c r="H5" s="1217"/>
      <c r="I5" s="1218"/>
      <c r="J5" s="58" t="s">
        <v>150</v>
      </c>
      <c r="K5" s="59"/>
      <c r="L5" s="1219"/>
      <c r="M5" s="1220"/>
      <c r="N5" s="1227" t="s">
        <v>151</v>
      </c>
      <c r="O5" s="1228"/>
      <c r="P5" s="1229"/>
    </row>
    <row r="6" spans="1:16" ht="15" customHeight="1">
      <c r="A6" s="1179"/>
      <c r="B6" s="1180"/>
      <c r="C6" s="1217"/>
      <c r="D6" s="1217"/>
      <c r="E6" s="1217"/>
      <c r="F6" s="1217"/>
      <c r="G6" s="1217"/>
      <c r="H6" s="1217"/>
      <c r="I6" s="1218"/>
      <c r="J6" s="1244" t="s">
        <v>152</v>
      </c>
      <c r="K6" s="1246" t="str">
        <f>'F1 Forecast Combined'!B8</f>
        <v>X.002-180-2024/1RF</v>
      </c>
      <c r="L6" s="1246"/>
      <c r="M6" s="1247"/>
      <c r="N6" s="1230"/>
      <c r="O6" s="1231"/>
      <c r="P6" s="1232"/>
    </row>
    <row r="7" spans="1:16" ht="15" customHeight="1">
      <c r="A7" s="1177" t="s">
        <v>153</v>
      </c>
      <c r="B7" s="1178"/>
      <c r="C7" s="1237" t="str">
        <f>'F1 Forecast Combined'!B9</f>
        <v>CONSULTING ENGINEERING SERVICES FOR THE ROUTINE ROAD MAINTENANCE OF NATIONAL ROUTE R36 FROM MARULENG MUNICIPAL BOUNDARY TO GREATER LETABA MUNICIPAL BOUNDARY, R71 FROM POLOKWANE MUNICIPAL BOUNDARY TO BA-PHALABORWA MUNICIPAL BOUNDARY AND R529 FROM LETSITELE TO GREATER GIYANI MUNICIPAL BOUNDARY</v>
      </c>
      <c r="D7" s="1238"/>
      <c r="E7" s="1238"/>
      <c r="F7" s="1238"/>
      <c r="G7" s="1238"/>
      <c r="H7" s="1238"/>
      <c r="I7" s="1239"/>
      <c r="J7" s="1245"/>
      <c r="K7" s="1248"/>
      <c r="L7" s="1248"/>
      <c r="M7" s="1249"/>
      <c r="N7" s="1254" t="s">
        <v>154</v>
      </c>
      <c r="O7" s="1257"/>
      <c r="P7" s="1258"/>
    </row>
    <row r="8" spans="1:16" ht="15" customHeight="1">
      <c r="A8" s="1233"/>
      <c r="B8" s="1234"/>
      <c r="C8" s="1240"/>
      <c r="D8" s="1240"/>
      <c r="E8" s="1240"/>
      <c r="F8" s="1240"/>
      <c r="G8" s="1240"/>
      <c r="H8" s="1240"/>
      <c r="I8" s="1241"/>
      <c r="J8" s="1244" t="s">
        <v>155</v>
      </c>
      <c r="K8" s="1251">
        <v>1</v>
      </c>
      <c r="L8" s="1259">
        <v>46053</v>
      </c>
      <c r="M8" s="1260"/>
      <c r="N8" s="1263"/>
      <c r="O8" s="1264"/>
      <c r="P8" s="1265"/>
    </row>
    <row r="9" spans="1:16" ht="15" customHeight="1" thickBot="1">
      <c r="A9" s="1235"/>
      <c r="B9" s="1236"/>
      <c r="C9" s="1242"/>
      <c r="D9" s="1242"/>
      <c r="E9" s="1242"/>
      <c r="F9" s="1242"/>
      <c r="G9" s="1242"/>
      <c r="H9" s="1242"/>
      <c r="I9" s="1243"/>
      <c r="J9" s="1250"/>
      <c r="K9" s="1252"/>
      <c r="L9" s="1261"/>
      <c r="M9" s="1262"/>
      <c r="N9" s="1266"/>
      <c r="O9" s="1267"/>
      <c r="P9" s="1268"/>
    </row>
    <row r="10" spans="1:16" ht="15" customHeight="1">
      <c r="A10" s="1197" t="s">
        <v>156</v>
      </c>
      <c r="B10" s="1200" t="s">
        <v>124</v>
      </c>
      <c r="C10" s="1200"/>
      <c r="D10" s="1200"/>
      <c r="E10" s="1200"/>
      <c r="F10" s="1201"/>
      <c r="G10" s="1206" t="s">
        <v>157</v>
      </c>
      <c r="H10" s="1208" t="s">
        <v>158</v>
      </c>
      <c r="I10" s="1210" t="s">
        <v>159</v>
      </c>
      <c r="J10" s="1211"/>
      <c r="K10" s="1208" t="s">
        <v>160</v>
      </c>
      <c r="L10" s="60" t="s">
        <v>161</v>
      </c>
      <c r="M10" s="1221" t="s">
        <v>162</v>
      </c>
      <c r="N10" s="1222"/>
      <c r="O10" s="1222"/>
      <c r="P10" s="1223"/>
    </row>
    <row r="11" spans="1:16" ht="15" customHeight="1">
      <c r="A11" s="1198"/>
      <c r="B11" s="1202"/>
      <c r="C11" s="1202"/>
      <c r="D11" s="1202"/>
      <c r="E11" s="1202"/>
      <c r="F11" s="1203"/>
      <c r="G11" s="1206"/>
      <c r="H11" s="1208"/>
      <c r="I11" s="1212"/>
      <c r="J11" s="1211"/>
      <c r="K11" s="1215"/>
      <c r="L11" s="61"/>
      <c r="M11" s="1224"/>
      <c r="N11" s="1225"/>
      <c r="O11" s="1225"/>
      <c r="P11" s="1226"/>
    </row>
    <row r="12" spans="1:16" ht="15" customHeight="1">
      <c r="A12" s="1199"/>
      <c r="B12" s="1204"/>
      <c r="C12" s="1204"/>
      <c r="D12" s="1204"/>
      <c r="E12" s="1204"/>
      <c r="F12" s="1205"/>
      <c r="G12" s="1207"/>
      <c r="H12" s="1209"/>
      <c r="I12" s="1213"/>
      <c r="J12" s="1214"/>
      <c r="K12" s="1216"/>
      <c r="L12" s="60"/>
      <c r="M12" s="1224"/>
      <c r="N12" s="1225"/>
      <c r="O12" s="1225"/>
      <c r="P12" s="1226"/>
    </row>
    <row r="13" spans="1:16" ht="15" customHeight="1">
      <c r="A13" s="62"/>
      <c r="B13" s="1225"/>
      <c r="C13" s="1225"/>
      <c r="D13" s="1225"/>
      <c r="E13" s="1225"/>
      <c r="F13" s="1253"/>
      <c r="G13" s="431"/>
      <c r="H13" s="60"/>
      <c r="I13" s="1254"/>
      <c r="J13" s="1255"/>
      <c r="K13" s="60"/>
      <c r="L13" s="60"/>
      <c r="M13" s="63" t="s">
        <v>163</v>
      </c>
      <c r="N13" s="1256"/>
      <c r="O13" s="1228"/>
      <c r="P13" s="1229"/>
    </row>
    <row r="14" spans="1:16" ht="15" customHeight="1">
      <c r="A14" s="64">
        <f>'RRM Pricing Schedule'!A153</f>
        <v>3200</v>
      </c>
      <c r="B14" s="1225" t="str">
        <f>'RRM Pricing Schedule'!B153</f>
        <v>DETAILED ASSESSMENT PHASE</v>
      </c>
      <c r="C14" s="1225"/>
      <c r="D14" s="1225"/>
      <c r="E14" s="1225"/>
      <c r="F14" s="1253"/>
      <c r="G14" s="432">
        <f>'RRM Pricing Schedule'!F153</f>
        <v>201000</v>
      </c>
      <c r="H14" s="65">
        <f>'Pg 2 Sum Scheduled'!I9</f>
        <v>0</v>
      </c>
      <c r="I14" s="1269">
        <f>'Pg 2 Sum Scheduled'!G9</f>
        <v>0</v>
      </c>
      <c r="J14" s="1270"/>
      <c r="K14" s="66">
        <f>+H14-I14</f>
        <v>0</v>
      </c>
      <c r="L14" s="60">
        <f>'3200'!$N$1</f>
        <v>3200</v>
      </c>
      <c r="M14" s="63"/>
      <c r="N14" s="1228"/>
      <c r="O14" s="1228"/>
      <c r="P14" s="67"/>
    </row>
    <row r="15" spans="1:16" ht="15" customHeight="1">
      <c r="A15" s="64"/>
      <c r="B15" s="1225"/>
      <c r="C15" s="1225"/>
      <c r="D15" s="1225"/>
      <c r="E15" s="1225"/>
      <c r="F15" s="1253"/>
      <c r="G15" s="432"/>
      <c r="H15" s="68"/>
      <c r="I15" s="1269"/>
      <c r="J15" s="1270"/>
      <c r="K15" s="69"/>
      <c r="L15" s="60"/>
      <c r="M15" s="63" t="s">
        <v>164</v>
      </c>
      <c r="N15" s="1274"/>
      <c r="O15" s="1228"/>
      <c r="P15" s="1229"/>
    </row>
    <row r="16" spans="1:16" ht="15" customHeight="1">
      <c r="A16" s="64">
        <f>'RRM Pricing Schedule'!A154</f>
        <v>3300</v>
      </c>
      <c r="B16" s="1225" t="str">
        <f>'RRM Pricing Schedule'!B154</f>
        <v>TENDER DOCUMENTATION</v>
      </c>
      <c r="C16" s="1225"/>
      <c r="D16" s="1225"/>
      <c r="E16" s="1225"/>
      <c r="F16" s="1253"/>
      <c r="G16" s="432">
        <f>'RRM Pricing Schedule'!F154</f>
        <v>0</v>
      </c>
      <c r="H16" s="65">
        <f>'Pg 2 Sum Scheduled'!I10</f>
        <v>0</v>
      </c>
      <c r="I16" s="1269">
        <f>'Pg 2 Sum Scheduled'!G10</f>
        <v>0</v>
      </c>
      <c r="J16" s="1270"/>
      <c r="K16" s="66">
        <f>H16-I16</f>
        <v>0</v>
      </c>
      <c r="L16" s="60">
        <f>'3300'!$N$1</f>
        <v>3300</v>
      </c>
      <c r="M16" s="1271"/>
      <c r="N16" s="1228"/>
      <c r="O16" s="1228"/>
      <c r="P16" s="67"/>
    </row>
    <row r="17" spans="1:16" ht="15" customHeight="1" thickBot="1">
      <c r="A17" s="64"/>
      <c r="B17" s="1225"/>
      <c r="C17" s="1225"/>
      <c r="D17" s="1225"/>
      <c r="E17" s="1225"/>
      <c r="F17" s="1253"/>
      <c r="G17" s="432"/>
      <c r="H17" s="65"/>
      <c r="I17" s="1269"/>
      <c r="J17" s="1270"/>
      <c r="K17" s="70"/>
      <c r="L17" s="60"/>
      <c r="M17" s="1272"/>
      <c r="N17" s="1273"/>
      <c r="O17" s="1273"/>
      <c r="P17" s="71"/>
    </row>
    <row r="18" spans="1:16" ht="15" customHeight="1">
      <c r="A18" s="64">
        <f>'RRM Pricing Schedule'!A155</f>
        <v>3400</v>
      </c>
      <c r="B18" s="1225" t="str">
        <f>'RRM Pricing Schedule'!B155</f>
        <v>SITE INSPECTION AND TENDER PERIOD</v>
      </c>
      <c r="C18" s="1225"/>
      <c r="D18" s="1225"/>
      <c r="E18" s="1225"/>
      <c r="F18" s="1253"/>
      <c r="G18" s="432">
        <f>'RRM Pricing Schedule'!F155</f>
        <v>15000</v>
      </c>
      <c r="H18" s="65">
        <f>'Pg 2 Sum Scheduled'!I11</f>
        <v>0</v>
      </c>
      <c r="I18" s="1269">
        <f>'Pg 2 Sum Scheduled'!G11</f>
        <v>0</v>
      </c>
      <c r="J18" s="1270"/>
      <c r="K18" s="66">
        <f>H18-I18</f>
        <v>0</v>
      </c>
      <c r="L18" s="60">
        <f>'3400'!$N$1</f>
        <v>3400</v>
      </c>
      <c r="M18" s="1166" t="s">
        <v>165</v>
      </c>
      <c r="N18" s="1278"/>
      <c r="O18" s="1278"/>
      <c r="P18" s="1279"/>
    </row>
    <row r="19" spans="1:16" ht="15" customHeight="1">
      <c r="A19" s="64"/>
      <c r="B19" s="1225"/>
      <c r="C19" s="1225"/>
      <c r="D19" s="1225"/>
      <c r="E19" s="1225"/>
      <c r="F19" s="1253"/>
      <c r="G19" s="432"/>
      <c r="H19" s="65"/>
      <c r="I19" s="1269"/>
      <c r="J19" s="1270"/>
      <c r="K19" s="66"/>
      <c r="L19" s="60"/>
      <c r="M19" s="1280"/>
      <c r="N19" s="1281"/>
      <c r="O19" s="1281"/>
      <c r="P19" s="1282"/>
    </row>
    <row r="20" spans="1:16" ht="15" customHeight="1">
      <c r="A20" s="64">
        <f>'RRM Pricing Schedule'!A156</f>
        <v>3500</v>
      </c>
      <c r="B20" s="1225" t="str">
        <f>'RRM Pricing Schedule'!B156</f>
        <v>ADMINISTRATION &amp; MONITORING OF WORKS CONTRACT</v>
      </c>
      <c r="C20" s="1225"/>
      <c r="D20" s="1225"/>
      <c r="E20" s="1225"/>
      <c r="F20" s="1253"/>
      <c r="G20" s="432">
        <f>'RRM Pricing Schedule'!F156</f>
        <v>16890000</v>
      </c>
      <c r="H20" s="65">
        <f>'Pg 2 Sum Scheduled'!I12</f>
        <v>0</v>
      </c>
      <c r="I20" s="1269">
        <f>'Pg 2 Sum Scheduled'!G12</f>
        <v>0</v>
      </c>
      <c r="J20" s="1270"/>
      <c r="K20" s="66">
        <f t="shared" ref="K20:K24" si="0">H20-I20</f>
        <v>0</v>
      </c>
      <c r="L20" s="60">
        <f>'3500'!$N$1</f>
        <v>3500</v>
      </c>
      <c r="M20" s="1283" t="s">
        <v>369</v>
      </c>
      <c r="N20" s="1284"/>
      <c r="O20" s="1284"/>
      <c r="P20" s="1285"/>
    </row>
    <row r="21" spans="1:16" ht="15" customHeight="1">
      <c r="A21" s="64"/>
      <c r="B21" s="1225"/>
      <c r="C21" s="1225"/>
      <c r="D21" s="1225"/>
      <c r="E21" s="1225"/>
      <c r="F21" s="1253"/>
      <c r="G21" s="432"/>
      <c r="H21" s="65"/>
      <c r="I21" s="1269"/>
      <c r="J21" s="1270"/>
      <c r="K21" s="66"/>
      <c r="L21" s="60"/>
      <c r="M21" s="1286"/>
      <c r="N21" s="1287"/>
      <c r="O21" s="1287"/>
      <c r="P21" s="1288"/>
    </row>
    <row r="22" spans="1:16" ht="15" customHeight="1">
      <c r="A22" s="64">
        <f>'RRM Pricing Schedule'!A157</f>
        <v>3600</v>
      </c>
      <c r="B22" s="1225" t="str">
        <f>'RRM Pricing Schedule'!B157</f>
        <v>ADDITIONAL DUTIES</v>
      </c>
      <c r="C22" s="1225"/>
      <c r="D22" s="1225"/>
      <c r="E22" s="1225"/>
      <c r="F22" s="1253"/>
      <c r="G22" s="432">
        <f>'RRM Pricing Schedule'!F157</f>
        <v>4900500</v>
      </c>
      <c r="H22" s="65">
        <f>'Pg 2 Sum Scheduled'!I13</f>
        <v>0</v>
      </c>
      <c r="I22" s="1269">
        <f>'Pg 2 Sum Scheduled'!G13</f>
        <v>0</v>
      </c>
      <c r="J22" s="1270"/>
      <c r="K22" s="66">
        <f t="shared" si="0"/>
        <v>0</v>
      </c>
      <c r="L22" s="60">
        <f>'3600'!$N$1</f>
        <v>3600</v>
      </c>
      <c r="M22" s="1275"/>
      <c r="N22" s="1276"/>
      <c r="O22" s="1276"/>
      <c r="P22" s="1277"/>
    </row>
    <row r="23" spans="1:16" ht="15" customHeight="1">
      <c r="A23" s="64"/>
      <c r="B23" s="1225"/>
      <c r="C23" s="1225"/>
      <c r="D23" s="1225"/>
      <c r="E23" s="1225"/>
      <c r="F23" s="1253"/>
      <c r="G23" s="432"/>
      <c r="H23" s="65"/>
      <c r="I23" s="1269"/>
      <c r="J23" s="1270"/>
      <c r="K23" s="66"/>
      <c r="L23" s="60"/>
      <c r="M23" s="1224" t="s">
        <v>166</v>
      </c>
      <c r="N23" s="1225"/>
      <c r="O23" s="1225" t="s">
        <v>166</v>
      </c>
      <c r="P23" s="1226"/>
    </row>
    <row r="24" spans="1:16" ht="15" customHeight="1">
      <c r="A24" s="64">
        <f>'RRM Pricing Schedule'!A158</f>
        <v>3700</v>
      </c>
      <c r="B24" s="1225" t="str">
        <f>'RRM Pricing Schedule'!B158</f>
        <v>OFF-SITE MATERIALS TESTING</v>
      </c>
      <c r="C24" s="1225"/>
      <c r="D24" s="1225"/>
      <c r="E24" s="1225"/>
      <c r="F24" s="1253"/>
      <c r="G24" s="432">
        <f>'RRM Pricing Schedule'!F158</f>
        <v>200000</v>
      </c>
      <c r="H24" s="65">
        <f>'Pg 2 Sum Scheduled'!I14</f>
        <v>0</v>
      </c>
      <c r="I24" s="1269">
        <f>'Pg 2 Sum Scheduled'!G14</f>
        <v>0</v>
      </c>
      <c r="J24" s="1270"/>
      <c r="K24" s="66">
        <f t="shared" si="0"/>
        <v>0</v>
      </c>
      <c r="L24" s="60">
        <f>'3700'!$N$1</f>
        <v>3700</v>
      </c>
      <c r="M24" s="1289" t="s">
        <v>167</v>
      </c>
      <c r="N24" s="1290"/>
      <c r="O24" s="1290" t="s">
        <v>168</v>
      </c>
      <c r="P24" s="1291"/>
    </row>
    <row r="25" spans="1:16" ht="15" customHeight="1">
      <c r="A25" s="64"/>
      <c r="B25" s="1225"/>
      <c r="C25" s="1225"/>
      <c r="D25" s="1225"/>
      <c r="E25" s="1225"/>
      <c r="F25" s="1253"/>
      <c r="G25" s="432"/>
      <c r="H25" s="65"/>
      <c r="I25" s="1269"/>
      <c r="J25" s="1270"/>
      <c r="K25" s="66"/>
      <c r="L25" s="60"/>
      <c r="M25" s="1292" t="s">
        <v>368</v>
      </c>
      <c r="N25" s="1293"/>
      <c r="O25" s="1293"/>
      <c r="P25" s="1294"/>
    </row>
    <row r="26" spans="1:16" ht="15" customHeight="1">
      <c r="A26" s="64">
        <f>'RRM Pricing Schedule'!A159</f>
        <v>3800</v>
      </c>
      <c r="B26" s="1225" t="str">
        <f>'RRM Pricing Schedule'!B159</f>
        <v>CLOSE OUT</v>
      </c>
      <c r="C26" s="1225"/>
      <c r="D26" s="1225"/>
      <c r="E26" s="1225"/>
      <c r="F26" s="1253"/>
      <c r="G26" s="432">
        <f>'RRM Pricing Schedule'!F159</f>
        <v>0</v>
      </c>
      <c r="H26" s="65">
        <f>'Pg 2 Sum Scheduled'!I15</f>
        <v>0</v>
      </c>
      <c r="I26" s="1269">
        <f>'Pg 2 Sum Scheduled'!G15</f>
        <v>0</v>
      </c>
      <c r="J26" s="1270"/>
      <c r="K26" s="66">
        <f t="shared" ref="K26" si="1">H26-I26</f>
        <v>0</v>
      </c>
      <c r="L26" s="60">
        <f>'3800'!$N$1</f>
        <v>3800</v>
      </c>
      <c r="M26" s="1295"/>
      <c r="N26" s="1296"/>
      <c r="O26" s="1296"/>
      <c r="P26" s="1297"/>
    </row>
    <row r="27" spans="1:16" ht="15" customHeight="1">
      <c r="A27" s="64"/>
      <c r="B27" s="1225"/>
      <c r="C27" s="1225"/>
      <c r="D27" s="1225"/>
      <c r="E27" s="1225"/>
      <c r="F27" s="1253"/>
      <c r="G27" s="432"/>
      <c r="H27" s="65"/>
      <c r="I27" s="1269"/>
      <c r="J27" s="1270"/>
      <c r="K27" s="66"/>
      <c r="L27" s="60"/>
      <c r="M27" s="1271"/>
      <c r="N27" s="1228"/>
      <c r="O27" s="1257"/>
      <c r="P27" s="1258"/>
    </row>
    <row r="28" spans="1:16" ht="15" customHeight="1">
      <c r="A28" s="64"/>
      <c r="B28" s="1225"/>
      <c r="C28" s="1225"/>
      <c r="D28" s="1225"/>
      <c r="E28" s="1225"/>
      <c r="F28" s="1253"/>
      <c r="G28" s="432"/>
      <c r="H28" s="65"/>
      <c r="I28" s="1269"/>
      <c r="J28" s="1270"/>
      <c r="K28" s="66"/>
      <c r="L28" s="60"/>
      <c r="M28" s="1224" t="s">
        <v>166</v>
      </c>
      <c r="N28" s="1225"/>
      <c r="O28" s="1225" t="s">
        <v>166</v>
      </c>
      <c r="P28" s="1226"/>
    </row>
    <row r="29" spans="1:16" ht="15" customHeight="1">
      <c r="A29" s="64"/>
      <c r="B29" s="1303"/>
      <c r="C29" s="1304"/>
      <c r="D29" s="1304"/>
      <c r="E29" s="1304"/>
      <c r="F29" s="1305"/>
      <c r="G29" s="432"/>
      <c r="H29" s="65"/>
      <c r="I29" s="1269"/>
      <c r="J29" s="1270"/>
      <c r="K29" s="66"/>
      <c r="L29" s="60"/>
      <c r="M29" s="1306" t="s">
        <v>370</v>
      </c>
      <c r="N29" s="1307"/>
      <c r="O29" s="1290" t="s">
        <v>168</v>
      </c>
      <c r="P29" s="1291"/>
    </row>
    <row r="30" spans="1:16" ht="15" customHeight="1">
      <c r="A30" s="422"/>
      <c r="B30" s="1225"/>
      <c r="C30" s="1225"/>
      <c r="D30" s="1225"/>
      <c r="E30" s="1225"/>
      <c r="F30" s="1253"/>
      <c r="G30" s="432"/>
      <c r="H30" s="65"/>
      <c r="I30" s="1269"/>
      <c r="J30" s="1270"/>
      <c r="K30" s="66"/>
      <c r="L30" s="60"/>
      <c r="M30" s="72"/>
      <c r="N30" s="73"/>
      <c r="O30" s="73"/>
      <c r="P30" s="74"/>
    </row>
    <row r="31" spans="1:16" ht="15" customHeight="1">
      <c r="A31" s="64"/>
      <c r="B31" s="1303"/>
      <c r="C31" s="1304"/>
      <c r="D31" s="1304"/>
      <c r="E31" s="1304"/>
      <c r="F31" s="1305"/>
      <c r="G31" s="432"/>
      <c r="H31" s="65"/>
      <c r="I31" s="1269"/>
      <c r="J31" s="1270"/>
      <c r="K31" s="70"/>
      <c r="L31" s="60"/>
      <c r="M31" s="611" t="s">
        <v>166</v>
      </c>
      <c r="N31" s="431"/>
      <c r="O31" s="431" t="s">
        <v>172</v>
      </c>
      <c r="P31" s="614"/>
    </row>
    <row r="32" spans="1:16" ht="15" customHeight="1">
      <c r="A32" s="64" t="s">
        <v>169</v>
      </c>
      <c r="B32" s="1303" t="s">
        <v>170</v>
      </c>
      <c r="C32" s="1304"/>
      <c r="D32" s="1304"/>
      <c r="E32" s="1304"/>
      <c r="F32" s="1305"/>
      <c r="G32" s="432"/>
      <c r="H32" s="65">
        <f>'Pg 1 Payment'!L17</f>
        <v>0</v>
      </c>
      <c r="I32" s="1308">
        <f>DATA!O52</f>
        <v>0</v>
      </c>
      <c r="J32" s="1309"/>
      <c r="K32" s="66">
        <f t="shared" ref="K32:K34" si="2">H32-I32</f>
        <v>0</v>
      </c>
      <c r="L32" s="60" t="s">
        <v>171</v>
      </c>
      <c r="M32" s="75" t="s">
        <v>173</v>
      </c>
      <c r="N32" s="76"/>
      <c r="O32" s="76" t="s">
        <v>168</v>
      </c>
      <c r="P32" s="77"/>
    </row>
    <row r="33" spans="1:16" ht="15" customHeight="1">
      <c r="A33" s="64"/>
      <c r="B33" s="1303"/>
      <c r="C33" s="1304"/>
      <c r="D33" s="1304"/>
      <c r="E33" s="1304"/>
      <c r="F33" s="1305"/>
      <c r="G33" s="432"/>
      <c r="H33" s="65"/>
      <c r="I33" s="1269"/>
      <c r="J33" s="1270"/>
      <c r="K33" s="70"/>
      <c r="L33" s="60"/>
      <c r="M33" s="1292" t="s">
        <v>174</v>
      </c>
      <c r="N33" s="1298"/>
      <c r="O33" s="1298"/>
      <c r="P33" s="1299"/>
    </row>
    <row r="34" spans="1:16" ht="15" customHeight="1">
      <c r="A34" s="64" t="s">
        <v>460</v>
      </c>
      <c r="B34" s="1303" t="s">
        <v>460</v>
      </c>
      <c r="C34" s="1304"/>
      <c r="D34" s="1304"/>
      <c r="E34" s="1304"/>
      <c r="F34" s="1305"/>
      <c r="G34" s="432"/>
      <c r="H34" s="65">
        <f>SUM('Pg 1 Payment'!L13:L14)</f>
        <v>0</v>
      </c>
      <c r="I34" s="1308">
        <f>DATA!BQ52</f>
        <v>0</v>
      </c>
      <c r="J34" s="1309"/>
      <c r="K34" s="66">
        <f t="shared" si="2"/>
        <v>0</v>
      </c>
      <c r="L34" s="61" t="s">
        <v>461</v>
      </c>
      <c r="M34" s="1300"/>
      <c r="N34" s="1301"/>
      <c r="O34" s="1301"/>
      <c r="P34" s="1302"/>
    </row>
    <row r="35" spans="1:16" ht="15" customHeight="1">
      <c r="A35" s="64"/>
      <c r="B35" s="1303"/>
      <c r="C35" s="1304"/>
      <c r="D35" s="1304"/>
      <c r="E35" s="1304"/>
      <c r="F35" s="1305"/>
      <c r="G35" s="432"/>
      <c r="H35" s="65"/>
      <c r="I35" s="1269"/>
      <c r="J35" s="1270"/>
      <c r="K35" s="66"/>
      <c r="L35" s="61"/>
      <c r="M35" s="612"/>
      <c r="N35" s="613"/>
      <c r="O35" s="613"/>
      <c r="P35" s="616"/>
    </row>
    <row r="36" spans="1:16" ht="15" customHeight="1">
      <c r="A36" s="64" t="s">
        <v>462</v>
      </c>
      <c r="B36" s="1303" t="s">
        <v>463</v>
      </c>
      <c r="C36" s="1304"/>
      <c r="D36" s="1304"/>
      <c r="E36" s="1304"/>
      <c r="F36" s="1305"/>
      <c r="G36" s="432"/>
      <c r="H36" s="65">
        <f>'Pg 1 Payment'!L23*-1</f>
        <v>0</v>
      </c>
      <c r="I36" s="1308">
        <f>DATA!BR52</f>
        <v>0</v>
      </c>
      <c r="J36" s="1309"/>
      <c r="K36" s="66">
        <f>(H36-I36)</f>
        <v>0</v>
      </c>
      <c r="L36" s="61" t="s">
        <v>464</v>
      </c>
      <c r="M36" s="612"/>
      <c r="N36" s="613"/>
      <c r="O36" s="613"/>
      <c r="P36" s="616"/>
    </row>
    <row r="37" spans="1:16" ht="15" customHeight="1">
      <c r="A37" s="64"/>
      <c r="B37" s="1303"/>
      <c r="C37" s="1304"/>
      <c r="D37" s="1304"/>
      <c r="E37" s="1304"/>
      <c r="F37" s="1305"/>
      <c r="G37" s="432"/>
      <c r="H37" s="68"/>
      <c r="I37" s="1269"/>
      <c r="J37" s="1270"/>
      <c r="K37" s="70"/>
      <c r="L37" s="61"/>
      <c r="M37" s="611" t="s">
        <v>166</v>
      </c>
      <c r="N37" s="431"/>
      <c r="O37" s="431" t="s">
        <v>172</v>
      </c>
      <c r="P37" s="614"/>
    </row>
    <row r="38" spans="1:16" ht="15" customHeight="1">
      <c r="A38" s="615" t="s">
        <v>465</v>
      </c>
      <c r="B38" s="1225" t="s">
        <v>175</v>
      </c>
      <c r="C38" s="1304"/>
      <c r="D38" s="1304"/>
      <c r="E38" s="1304"/>
      <c r="F38" s="1305"/>
      <c r="G38" s="433"/>
      <c r="H38" s="65">
        <f>'Pg 1 Payment'!L20*-1</f>
        <v>0</v>
      </c>
      <c r="I38" s="1310">
        <f>DATA!P56</f>
        <v>0</v>
      </c>
      <c r="J38" s="1311"/>
      <c r="K38" s="66">
        <f>(H38-I38)</f>
        <v>0</v>
      </c>
      <c r="L38" s="61" t="s">
        <v>461</v>
      </c>
      <c r="M38" s="75" t="s">
        <v>173</v>
      </c>
      <c r="N38" s="76"/>
      <c r="O38" s="76" t="s">
        <v>168</v>
      </c>
      <c r="P38" s="77"/>
    </row>
    <row r="39" spans="1:16" ht="15" customHeight="1">
      <c r="A39" s="78"/>
      <c r="B39" s="1322"/>
      <c r="C39" s="1322"/>
      <c r="D39" s="1322"/>
      <c r="E39" s="1322"/>
      <c r="F39" s="1323"/>
      <c r="G39" s="434"/>
      <c r="H39" s="79"/>
      <c r="I39" s="1324"/>
      <c r="J39" s="1325"/>
      <c r="K39" s="80"/>
      <c r="L39" s="61"/>
      <c r="M39" s="81"/>
      <c r="N39" s="82"/>
      <c r="O39" s="82"/>
      <c r="P39" s="83"/>
    </row>
    <row r="40" spans="1:16" ht="15" customHeight="1">
      <c r="A40" s="1314" t="s">
        <v>176</v>
      </c>
      <c r="B40" s="1304"/>
      <c r="C40" s="1304"/>
      <c r="D40" s="1304"/>
      <c r="E40" s="1304"/>
      <c r="F40" s="1305"/>
      <c r="G40" s="1316">
        <f>SUM(G14:G38)</f>
        <v>22206500</v>
      </c>
      <c r="H40" s="1312">
        <f>SUM(H13:H39)</f>
        <v>0</v>
      </c>
      <c r="I40" s="1318">
        <f>SUM(I13:J39)</f>
        <v>0</v>
      </c>
      <c r="J40" s="1319"/>
      <c r="K40" s="1312">
        <f>+H40-I40</f>
        <v>0</v>
      </c>
      <c r="L40" s="61"/>
      <c r="M40" s="63"/>
      <c r="P40" s="67"/>
    </row>
    <row r="41" spans="1:16" ht="15" customHeight="1">
      <c r="A41" s="1315"/>
      <c r="B41" s="1304"/>
      <c r="C41" s="1304"/>
      <c r="D41" s="1304"/>
      <c r="E41" s="1304"/>
      <c r="F41" s="1305"/>
      <c r="G41" s="1317"/>
      <c r="H41" s="1313"/>
      <c r="I41" s="1320"/>
      <c r="J41" s="1321"/>
      <c r="K41" s="1313"/>
      <c r="L41" s="61"/>
      <c r="M41" s="611" t="s">
        <v>166</v>
      </c>
      <c r="N41" s="431"/>
      <c r="O41" s="431" t="s">
        <v>172</v>
      </c>
      <c r="P41" s="614"/>
    </row>
    <row r="42" spans="1:16" ht="15" customHeight="1" thickBot="1">
      <c r="A42" s="1314" t="str">
        <f>"VAT (" &amp; 'PROJECT INPUT DATA'!D9 &amp;"%)"</f>
        <v>VAT (0.15%)</v>
      </c>
      <c r="B42" s="1304"/>
      <c r="C42" s="1304"/>
      <c r="D42" s="1304"/>
      <c r="E42" s="1304"/>
      <c r="F42" s="1305"/>
      <c r="G42" s="1316">
        <f>+G40*'PROJECT INPUT DATA'!D9/100</f>
        <v>33309.75</v>
      </c>
      <c r="H42" s="1312">
        <f>'PROJECT INPUT DATA'!D9/100*H40</f>
        <v>0</v>
      </c>
      <c r="I42" s="1318">
        <f>'PROJECT INPUT DATA'!D9/100*I40</f>
        <v>0</v>
      </c>
      <c r="J42" s="1319"/>
      <c r="K42" s="1312">
        <f>'PROJECT INPUT DATA'!D9/100*K40</f>
        <v>0</v>
      </c>
      <c r="L42" s="61"/>
      <c r="M42" s="424" t="s">
        <v>178</v>
      </c>
      <c r="N42" s="425"/>
      <c r="O42" s="425" t="s">
        <v>168</v>
      </c>
      <c r="P42" s="426"/>
    </row>
    <row r="43" spans="1:16" ht="15" customHeight="1" thickBot="1">
      <c r="A43" s="1315"/>
      <c r="B43" s="1304"/>
      <c r="C43" s="1304"/>
      <c r="D43" s="1304"/>
      <c r="E43" s="1304"/>
      <c r="F43" s="1305"/>
      <c r="G43" s="1317"/>
      <c r="H43" s="1313"/>
      <c r="I43" s="1320"/>
      <c r="J43" s="1321"/>
      <c r="K43" s="1313"/>
      <c r="L43" s="61"/>
    </row>
    <row r="44" spans="1:16" ht="15" customHeight="1">
      <c r="A44" s="1314" t="s">
        <v>177</v>
      </c>
      <c r="B44" s="1304"/>
      <c r="C44" s="1304"/>
      <c r="D44" s="1304"/>
      <c r="E44" s="1304"/>
      <c r="F44" s="1305"/>
      <c r="G44" s="1316">
        <f>+G42+G40</f>
        <v>22239809.75</v>
      </c>
      <c r="H44" s="1312">
        <f>H40+H42</f>
        <v>0</v>
      </c>
      <c r="I44" s="1318">
        <f>I40+I42</f>
        <v>0</v>
      </c>
      <c r="J44" s="1319"/>
      <c r="K44" s="1312">
        <f>ROUND((K40+K42),2)</f>
        <v>0</v>
      </c>
      <c r="L44" s="61"/>
      <c r="M44" s="85"/>
      <c r="N44" s="86"/>
      <c r="O44" s="86"/>
      <c r="P44" s="87"/>
    </row>
    <row r="45" spans="1:16" ht="15" customHeight="1" thickBot="1">
      <c r="A45" s="1315"/>
      <c r="B45" s="1304"/>
      <c r="C45" s="1304"/>
      <c r="D45" s="1304"/>
      <c r="E45" s="1304"/>
      <c r="F45" s="1305"/>
      <c r="G45" s="1317"/>
      <c r="H45" s="1313"/>
      <c r="I45" s="1320"/>
      <c r="J45" s="1321"/>
      <c r="K45" s="1331"/>
      <c r="L45" s="61"/>
      <c r="M45" s="63"/>
      <c r="P45" s="67"/>
    </row>
    <row r="46" spans="1:16" ht="15" customHeight="1" thickTop="1">
      <c r="A46" s="1314" t="s">
        <v>179</v>
      </c>
      <c r="B46" s="1304"/>
      <c r="C46" s="1304"/>
      <c r="D46" s="1304"/>
      <c r="E46" s="1304"/>
      <c r="F46" s="1304"/>
      <c r="G46" s="1304"/>
      <c r="H46" s="1304"/>
      <c r="I46" s="1304"/>
      <c r="J46" s="1332"/>
      <c r="K46" s="1333">
        <f>K44</f>
        <v>0</v>
      </c>
      <c r="L46" s="84"/>
      <c r="M46" s="63"/>
      <c r="P46" s="67"/>
    </row>
    <row r="47" spans="1:16" ht="15" customHeight="1" thickBot="1">
      <c r="A47" s="1315"/>
      <c r="B47" s="1304"/>
      <c r="C47" s="1304"/>
      <c r="D47" s="1304"/>
      <c r="E47" s="1304"/>
      <c r="F47" s="1304"/>
      <c r="G47" s="1304"/>
      <c r="H47" s="1304"/>
      <c r="I47" s="1304"/>
      <c r="J47" s="1332"/>
      <c r="K47" s="1334"/>
      <c r="M47" s="611"/>
      <c r="N47" s="431"/>
      <c r="O47" s="431"/>
      <c r="P47" s="614"/>
    </row>
    <row r="48" spans="1:16" ht="15" customHeight="1" thickTop="1">
      <c r="A48" s="1314" t="s">
        <v>180</v>
      </c>
      <c r="B48" s="1304"/>
      <c r="C48" s="1304"/>
      <c r="D48" s="1304"/>
      <c r="E48" s="1304"/>
      <c r="F48" s="1304"/>
      <c r="G48" s="1304"/>
      <c r="H48" s="1304"/>
      <c r="I48" s="1304"/>
      <c r="J48" s="1305"/>
      <c r="K48" s="1329" t="e">
        <f>VLOOKUP(DATA!C301,'F1 Forecast Consultant'!$A$20:$F$123,5,FALSE)</f>
        <v>#N/A</v>
      </c>
      <c r="M48" s="1224" t="s">
        <v>181</v>
      </c>
      <c r="N48" s="1225"/>
      <c r="O48" s="431" t="s">
        <v>182</v>
      </c>
      <c r="P48" s="67"/>
    </row>
    <row r="49" spans="1:16" ht="15" customHeight="1" thickBot="1">
      <c r="A49" s="1326"/>
      <c r="B49" s="1327"/>
      <c r="C49" s="1327"/>
      <c r="D49" s="1327"/>
      <c r="E49" s="1327"/>
      <c r="F49" s="1327"/>
      <c r="G49" s="1327"/>
      <c r="H49" s="1327"/>
      <c r="I49" s="1327"/>
      <c r="J49" s="1328"/>
      <c r="K49" s="1330"/>
      <c r="L49" s="88"/>
      <c r="M49" s="423" t="s">
        <v>183</v>
      </c>
      <c r="N49" s="89"/>
      <c r="O49" s="89" t="s">
        <v>184</v>
      </c>
      <c r="P49" s="90"/>
    </row>
    <row r="54" spans="1:16" ht="15" customHeight="1">
      <c r="K54" s="91"/>
    </row>
  </sheetData>
  <mergeCells count="128">
    <mergeCell ref="A48:J49"/>
    <mergeCell ref="K48:K49"/>
    <mergeCell ref="M48:N48"/>
    <mergeCell ref="A44:F45"/>
    <mergeCell ref="G44:G45"/>
    <mergeCell ref="H44:H45"/>
    <mergeCell ref="I44:J45"/>
    <mergeCell ref="K44:K45"/>
    <mergeCell ref="A46:J47"/>
    <mergeCell ref="K46:K47"/>
    <mergeCell ref="K40:K41"/>
    <mergeCell ref="A42:F43"/>
    <mergeCell ref="G42:G43"/>
    <mergeCell ref="H42:H43"/>
    <mergeCell ref="I42:J43"/>
    <mergeCell ref="K42:K43"/>
    <mergeCell ref="B39:F39"/>
    <mergeCell ref="I39:J39"/>
    <mergeCell ref="A40:F41"/>
    <mergeCell ref="G40:G41"/>
    <mergeCell ref="H40:H41"/>
    <mergeCell ref="I40:J41"/>
    <mergeCell ref="B36:F36"/>
    <mergeCell ref="I36:J36"/>
    <mergeCell ref="B37:F37"/>
    <mergeCell ref="I37:J37"/>
    <mergeCell ref="B38:F38"/>
    <mergeCell ref="I38:J38"/>
    <mergeCell ref="B31:F31"/>
    <mergeCell ref="I31:J31"/>
    <mergeCell ref="B32:F32"/>
    <mergeCell ref="I32:J32"/>
    <mergeCell ref="B33:F33"/>
    <mergeCell ref="I33:J33"/>
    <mergeCell ref="B34:F34"/>
    <mergeCell ref="I34:J34"/>
    <mergeCell ref="B35:F35"/>
    <mergeCell ref="I35:J35"/>
    <mergeCell ref="M33:P34"/>
    <mergeCell ref="B29:F29"/>
    <mergeCell ref="I29:J29"/>
    <mergeCell ref="M29:N29"/>
    <mergeCell ref="O29:P29"/>
    <mergeCell ref="B30:F30"/>
    <mergeCell ref="I30:J30"/>
    <mergeCell ref="B27:F27"/>
    <mergeCell ref="I27:J27"/>
    <mergeCell ref="M27:N27"/>
    <mergeCell ref="O27:P27"/>
    <mergeCell ref="B28:F28"/>
    <mergeCell ref="I28:J28"/>
    <mergeCell ref="M28:N28"/>
    <mergeCell ref="O28:P28"/>
    <mergeCell ref="B24:F24"/>
    <mergeCell ref="I24:J24"/>
    <mergeCell ref="M24:N24"/>
    <mergeCell ref="O24:P24"/>
    <mergeCell ref="B25:F25"/>
    <mergeCell ref="I25:J25"/>
    <mergeCell ref="M25:P26"/>
    <mergeCell ref="B26:F26"/>
    <mergeCell ref="I26:J26"/>
    <mergeCell ref="B22:F22"/>
    <mergeCell ref="I22:J22"/>
    <mergeCell ref="M22:N22"/>
    <mergeCell ref="O22:P22"/>
    <mergeCell ref="B23:F23"/>
    <mergeCell ref="I23:J23"/>
    <mergeCell ref="M23:N23"/>
    <mergeCell ref="O23:P23"/>
    <mergeCell ref="B18:F18"/>
    <mergeCell ref="I18:J18"/>
    <mergeCell ref="M18:P19"/>
    <mergeCell ref="B19:F19"/>
    <mergeCell ref="I19:J19"/>
    <mergeCell ref="B20:F20"/>
    <mergeCell ref="I20:J20"/>
    <mergeCell ref="M20:P21"/>
    <mergeCell ref="B21:F21"/>
    <mergeCell ref="I21:J21"/>
    <mergeCell ref="B17:F17"/>
    <mergeCell ref="I17:J17"/>
    <mergeCell ref="M17:O17"/>
    <mergeCell ref="B14:F14"/>
    <mergeCell ref="I14:J14"/>
    <mergeCell ref="N14:O14"/>
    <mergeCell ref="B15:F15"/>
    <mergeCell ref="I15:J15"/>
    <mergeCell ref="N15:P15"/>
    <mergeCell ref="B13:F13"/>
    <mergeCell ref="I13:J13"/>
    <mergeCell ref="N13:P13"/>
    <mergeCell ref="N7:P7"/>
    <mergeCell ref="L8:M9"/>
    <mergeCell ref="N8:P9"/>
    <mergeCell ref="B16:F16"/>
    <mergeCell ref="I16:J16"/>
    <mergeCell ref="M16:O16"/>
    <mergeCell ref="A10:A12"/>
    <mergeCell ref="B10:F12"/>
    <mergeCell ref="G10:G12"/>
    <mergeCell ref="H10:H12"/>
    <mergeCell ref="I10:J12"/>
    <mergeCell ref="K10:K12"/>
    <mergeCell ref="A5:B6"/>
    <mergeCell ref="C5:I5"/>
    <mergeCell ref="L5:M5"/>
    <mergeCell ref="M10:P10"/>
    <mergeCell ref="M11:P11"/>
    <mergeCell ref="M12:P12"/>
    <mergeCell ref="N5:P5"/>
    <mergeCell ref="C6:I6"/>
    <mergeCell ref="N6:P6"/>
    <mergeCell ref="A7:B9"/>
    <mergeCell ref="C7:I9"/>
    <mergeCell ref="J6:J7"/>
    <mergeCell ref="K6:M7"/>
    <mergeCell ref="J8:J9"/>
    <mergeCell ref="K8:K9"/>
    <mergeCell ref="A1:I1"/>
    <mergeCell ref="J1:M2"/>
    <mergeCell ref="N1:P2"/>
    <mergeCell ref="A3:B4"/>
    <mergeCell ref="C3:I4"/>
    <mergeCell ref="J3:K4"/>
    <mergeCell ref="A2:B2"/>
    <mergeCell ref="C2:D2"/>
    <mergeCell ref="L3:P4"/>
  </mergeCells>
  <printOptions horizontalCentered="1"/>
  <pageMargins left="0.15748031496062992" right="0" top="0.35433070866141736" bottom="0.15748031496062992" header="0.19685039370078741" footer="0.27559055118110237"/>
  <pageSetup paperSize="9" scale="74" orientation="landscape" r:id="rId1"/>
  <headerFooter alignWithMargins="0">
    <oddHeader>&amp;L&amp;"Calibri"&amp;10&amp;K000000 Sensitivity - General&amp;1#_x000D_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locked="0" defaultSize="0" print="0" autoFill="0" autoPict="0" macro="[0]!runmonthlycopy">
                <anchor moveWithCells="1" sizeWithCells="1">
                  <from>
                    <xdr:col>16</xdr:col>
                    <xdr:colOff>182880</xdr:colOff>
                    <xdr:row>0</xdr:row>
                    <xdr:rowOff>152400</xdr:rowOff>
                  </from>
                  <to>
                    <xdr:col>20</xdr:col>
                    <xdr:colOff>220980</xdr:colOff>
                    <xdr:row>2</xdr:row>
                    <xdr:rowOff>83820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7">
    <tabColor rgb="FF0070C0"/>
    <pageSetUpPr fitToPage="1"/>
  </sheetPr>
  <dimension ref="A1:N39"/>
  <sheetViews>
    <sheetView showZeros="0" zoomScale="75" zoomScaleNormal="75" zoomScaleSheetLayoutView="75" workbookViewId="0">
      <selection sqref="A1:E1"/>
    </sheetView>
  </sheetViews>
  <sheetFormatPr defaultColWidth="12.5546875" defaultRowHeight="15"/>
  <cols>
    <col min="1" max="1" width="8.44140625" style="92" customWidth="1"/>
    <col min="2" max="2" width="20.109375" style="92" customWidth="1"/>
    <col min="3" max="3" width="20" style="92" customWidth="1"/>
    <col min="4" max="4" width="10.88671875" style="92" customWidth="1"/>
    <col min="5" max="5" width="3.6640625" style="92" customWidth="1"/>
    <col min="6" max="6" width="7.6640625" style="92" customWidth="1"/>
    <col min="7" max="11" width="16.88671875" style="92" customWidth="1"/>
    <col min="12" max="12" width="18.33203125" style="92" customWidth="1"/>
    <col min="13" max="13" width="4.6640625" style="92" customWidth="1"/>
    <col min="14" max="14" width="26.5546875" style="92" customWidth="1"/>
    <col min="15" max="256" width="12.5546875" style="92"/>
    <col min="257" max="257" width="8.44140625" style="92" customWidth="1"/>
    <col min="258" max="258" width="20.109375" style="92" customWidth="1"/>
    <col min="259" max="259" width="20" style="92" customWidth="1"/>
    <col min="260" max="260" width="10.88671875" style="92" customWidth="1"/>
    <col min="261" max="261" width="3.6640625" style="92" customWidth="1"/>
    <col min="262" max="262" width="7.6640625" style="92" customWidth="1"/>
    <col min="263" max="267" width="16.88671875" style="92" customWidth="1"/>
    <col min="268" max="268" width="18.33203125" style="92" customWidth="1"/>
    <col min="269" max="269" width="4.6640625" style="92" customWidth="1"/>
    <col min="270" max="270" width="26.5546875" style="92" customWidth="1"/>
    <col min="271" max="512" width="12.5546875" style="92"/>
    <col min="513" max="513" width="8.44140625" style="92" customWidth="1"/>
    <col min="514" max="514" width="20.109375" style="92" customWidth="1"/>
    <col min="515" max="515" width="20" style="92" customWidth="1"/>
    <col min="516" max="516" width="10.88671875" style="92" customWidth="1"/>
    <col min="517" max="517" width="3.6640625" style="92" customWidth="1"/>
    <col min="518" max="518" width="7.6640625" style="92" customWidth="1"/>
    <col min="519" max="523" width="16.88671875" style="92" customWidth="1"/>
    <col min="524" max="524" width="18.33203125" style="92" customWidth="1"/>
    <col min="525" max="525" width="4.6640625" style="92" customWidth="1"/>
    <col min="526" max="526" width="26.5546875" style="92" customWidth="1"/>
    <col min="527" max="768" width="12.5546875" style="92"/>
    <col min="769" max="769" width="8.44140625" style="92" customWidth="1"/>
    <col min="770" max="770" width="20.109375" style="92" customWidth="1"/>
    <col min="771" max="771" width="20" style="92" customWidth="1"/>
    <col min="772" max="772" width="10.88671875" style="92" customWidth="1"/>
    <col min="773" max="773" width="3.6640625" style="92" customWidth="1"/>
    <col min="774" max="774" width="7.6640625" style="92" customWidth="1"/>
    <col min="775" max="779" width="16.88671875" style="92" customWidth="1"/>
    <col min="780" max="780" width="18.33203125" style="92" customWidth="1"/>
    <col min="781" max="781" width="4.6640625" style="92" customWidth="1"/>
    <col min="782" max="782" width="26.5546875" style="92" customWidth="1"/>
    <col min="783" max="1024" width="12.5546875" style="92"/>
    <col min="1025" max="1025" width="8.44140625" style="92" customWidth="1"/>
    <col min="1026" max="1026" width="20.109375" style="92" customWidth="1"/>
    <col min="1027" max="1027" width="20" style="92" customWidth="1"/>
    <col min="1028" max="1028" width="10.88671875" style="92" customWidth="1"/>
    <col min="1029" max="1029" width="3.6640625" style="92" customWidth="1"/>
    <col min="1030" max="1030" width="7.6640625" style="92" customWidth="1"/>
    <col min="1031" max="1035" width="16.88671875" style="92" customWidth="1"/>
    <col min="1036" max="1036" width="18.33203125" style="92" customWidth="1"/>
    <col min="1037" max="1037" width="4.6640625" style="92" customWidth="1"/>
    <col min="1038" max="1038" width="26.5546875" style="92" customWidth="1"/>
    <col min="1039" max="1280" width="12.5546875" style="92"/>
    <col min="1281" max="1281" width="8.44140625" style="92" customWidth="1"/>
    <col min="1282" max="1282" width="20.109375" style="92" customWidth="1"/>
    <col min="1283" max="1283" width="20" style="92" customWidth="1"/>
    <col min="1284" max="1284" width="10.88671875" style="92" customWidth="1"/>
    <col min="1285" max="1285" width="3.6640625" style="92" customWidth="1"/>
    <col min="1286" max="1286" width="7.6640625" style="92" customWidth="1"/>
    <col min="1287" max="1291" width="16.88671875" style="92" customWidth="1"/>
    <col min="1292" max="1292" width="18.33203125" style="92" customWidth="1"/>
    <col min="1293" max="1293" width="4.6640625" style="92" customWidth="1"/>
    <col min="1294" max="1294" width="26.5546875" style="92" customWidth="1"/>
    <col min="1295" max="1536" width="12.5546875" style="92"/>
    <col min="1537" max="1537" width="8.44140625" style="92" customWidth="1"/>
    <col min="1538" max="1538" width="20.109375" style="92" customWidth="1"/>
    <col min="1539" max="1539" width="20" style="92" customWidth="1"/>
    <col min="1540" max="1540" width="10.88671875" style="92" customWidth="1"/>
    <col min="1541" max="1541" width="3.6640625" style="92" customWidth="1"/>
    <col min="1542" max="1542" width="7.6640625" style="92" customWidth="1"/>
    <col min="1543" max="1547" width="16.88671875" style="92" customWidth="1"/>
    <col min="1548" max="1548" width="18.33203125" style="92" customWidth="1"/>
    <col min="1549" max="1549" width="4.6640625" style="92" customWidth="1"/>
    <col min="1550" max="1550" width="26.5546875" style="92" customWidth="1"/>
    <col min="1551" max="1792" width="12.5546875" style="92"/>
    <col min="1793" max="1793" width="8.44140625" style="92" customWidth="1"/>
    <col min="1794" max="1794" width="20.109375" style="92" customWidth="1"/>
    <col min="1795" max="1795" width="20" style="92" customWidth="1"/>
    <col min="1796" max="1796" width="10.88671875" style="92" customWidth="1"/>
    <col min="1797" max="1797" width="3.6640625" style="92" customWidth="1"/>
    <col min="1798" max="1798" width="7.6640625" style="92" customWidth="1"/>
    <col min="1799" max="1803" width="16.88671875" style="92" customWidth="1"/>
    <col min="1804" max="1804" width="18.33203125" style="92" customWidth="1"/>
    <col min="1805" max="1805" width="4.6640625" style="92" customWidth="1"/>
    <col min="1806" max="1806" width="26.5546875" style="92" customWidth="1"/>
    <col min="1807" max="2048" width="12.5546875" style="92"/>
    <col min="2049" max="2049" width="8.44140625" style="92" customWidth="1"/>
    <col min="2050" max="2050" width="20.109375" style="92" customWidth="1"/>
    <col min="2051" max="2051" width="20" style="92" customWidth="1"/>
    <col min="2052" max="2052" width="10.88671875" style="92" customWidth="1"/>
    <col min="2053" max="2053" width="3.6640625" style="92" customWidth="1"/>
    <col min="2054" max="2054" width="7.6640625" style="92" customWidth="1"/>
    <col min="2055" max="2059" width="16.88671875" style="92" customWidth="1"/>
    <col min="2060" max="2060" width="18.33203125" style="92" customWidth="1"/>
    <col min="2061" max="2061" width="4.6640625" style="92" customWidth="1"/>
    <col min="2062" max="2062" width="26.5546875" style="92" customWidth="1"/>
    <col min="2063" max="2304" width="12.5546875" style="92"/>
    <col min="2305" max="2305" width="8.44140625" style="92" customWidth="1"/>
    <col min="2306" max="2306" width="20.109375" style="92" customWidth="1"/>
    <col min="2307" max="2307" width="20" style="92" customWidth="1"/>
    <col min="2308" max="2308" width="10.88671875" style="92" customWidth="1"/>
    <col min="2309" max="2309" width="3.6640625" style="92" customWidth="1"/>
    <col min="2310" max="2310" width="7.6640625" style="92" customWidth="1"/>
    <col min="2311" max="2315" width="16.88671875" style="92" customWidth="1"/>
    <col min="2316" max="2316" width="18.33203125" style="92" customWidth="1"/>
    <col min="2317" max="2317" width="4.6640625" style="92" customWidth="1"/>
    <col min="2318" max="2318" width="26.5546875" style="92" customWidth="1"/>
    <col min="2319" max="2560" width="12.5546875" style="92"/>
    <col min="2561" max="2561" width="8.44140625" style="92" customWidth="1"/>
    <col min="2562" max="2562" width="20.109375" style="92" customWidth="1"/>
    <col min="2563" max="2563" width="20" style="92" customWidth="1"/>
    <col min="2564" max="2564" width="10.88671875" style="92" customWidth="1"/>
    <col min="2565" max="2565" width="3.6640625" style="92" customWidth="1"/>
    <col min="2566" max="2566" width="7.6640625" style="92" customWidth="1"/>
    <col min="2567" max="2571" width="16.88671875" style="92" customWidth="1"/>
    <col min="2572" max="2572" width="18.33203125" style="92" customWidth="1"/>
    <col min="2573" max="2573" width="4.6640625" style="92" customWidth="1"/>
    <col min="2574" max="2574" width="26.5546875" style="92" customWidth="1"/>
    <col min="2575" max="2816" width="12.5546875" style="92"/>
    <col min="2817" max="2817" width="8.44140625" style="92" customWidth="1"/>
    <col min="2818" max="2818" width="20.109375" style="92" customWidth="1"/>
    <col min="2819" max="2819" width="20" style="92" customWidth="1"/>
    <col min="2820" max="2820" width="10.88671875" style="92" customWidth="1"/>
    <col min="2821" max="2821" width="3.6640625" style="92" customWidth="1"/>
    <col min="2822" max="2822" width="7.6640625" style="92" customWidth="1"/>
    <col min="2823" max="2827" width="16.88671875" style="92" customWidth="1"/>
    <col min="2828" max="2828" width="18.33203125" style="92" customWidth="1"/>
    <col min="2829" max="2829" width="4.6640625" style="92" customWidth="1"/>
    <col min="2830" max="2830" width="26.5546875" style="92" customWidth="1"/>
    <col min="2831" max="3072" width="12.5546875" style="92"/>
    <col min="3073" max="3073" width="8.44140625" style="92" customWidth="1"/>
    <col min="3074" max="3074" width="20.109375" style="92" customWidth="1"/>
    <col min="3075" max="3075" width="20" style="92" customWidth="1"/>
    <col min="3076" max="3076" width="10.88671875" style="92" customWidth="1"/>
    <col min="3077" max="3077" width="3.6640625" style="92" customWidth="1"/>
    <col min="3078" max="3078" width="7.6640625" style="92" customWidth="1"/>
    <col min="3079" max="3083" width="16.88671875" style="92" customWidth="1"/>
    <col min="3084" max="3084" width="18.33203125" style="92" customWidth="1"/>
    <col min="3085" max="3085" width="4.6640625" style="92" customWidth="1"/>
    <col min="3086" max="3086" width="26.5546875" style="92" customWidth="1"/>
    <col min="3087" max="3328" width="12.5546875" style="92"/>
    <col min="3329" max="3329" width="8.44140625" style="92" customWidth="1"/>
    <col min="3330" max="3330" width="20.109375" style="92" customWidth="1"/>
    <col min="3331" max="3331" width="20" style="92" customWidth="1"/>
    <col min="3332" max="3332" width="10.88671875" style="92" customWidth="1"/>
    <col min="3333" max="3333" width="3.6640625" style="92" customWidth="1"/>
    <col min="3334" max="3334" width="7.6640625" style="92" customWidth="1"/>
    <col min="3335" max="3339" width="16.88671875" style="92" customWidth="1"/>
    <col min="3340" max="3340" width="18.33203125" style="92" customWidth="1"/>
    <col min="3341" max="3341" width="4.6640625" style="92" customWidth="1"/>
    <col min="3342" max="3342" width="26.5546875" style="92" customWidth="1"/>
    <col min="3343" max="3584" width="12.5546875" style="92"/>
    <col min="3585" max="3585" width="8.44140625" style="92" customWidth="1"/>
    <col min="3586" max="3586" width="20.109375" style="92" customWidth="1"/>
    <col min="3587" max="3587" width="20" style="92" customWidth="1"/>
    <col min="3588" max="3588" width="10.88671875" style="92" customWidth="1"/>
    <col min="3589" max="3589" width="3.6640625" style="92" customWidth="1"/>
    <col min="3590" max="3590" width="7.6640625" style="92" customWidth="1"/>
    <col min="3591" max="3595" width="16.88671875" style="92" customWidth="1"/>
    <col min="3596" max="3596" width="18.33203125" style="92" customWidth="1"/>
    <col min="3597" max="3597" width="4.6640625" style="92" customWidth="1"/>
    <col min="3598" max="3598" width="26.5546875" style="92" customWidth="1"/>
    <col min="3599" max="3840" width="12.5546875" style="92"/>
    <col min="3841" max="3841" width="8.44140625" style="92" customWidth="1"/>
    <col min="3842" max="3842" width="20.109375" style="92" customWidth="1"/>
    <col min="3843" max="3843" width="20" style="92" customWidth="1"/>
    <col min="3844" max="3844" width="10.88671875" style="92" customWidth="1"/>
    <col min="3845" max="3845" width="3.6640625" style="92" customWidth="1"/>
    <col min="3846" max="3846" width="7.6640625" style="92" customWidth="1"/>
    <col min="3847" max="3851" width="16.88671875" style="92" customWidth="1"/>
    <col min="3852" max="3852" width="18.33203125" style="92" customWidth="1"/>
    <col min="3853" max="3853" width="4.6640625" style="92" customWidth="1"/>
    <col min="3854" max="3854" width="26.5546875" style="92" customWidth="1"/>
    <col min="3855" max="4096" width="12.5546875" style="92"/>
    <col min="4097" max="4097" width="8.44140625" style="92" customWidth="1"/>
    <col min="4098" max="4098" width="20.109375" style="92" customWidth="1"/>
    <col min="4099" max="4099" width="20" style="92" customWidth="1"/>
    <col min="4100" max="4100" width="10.88671875" style="92" customWidth="1"/>
    <col min="4101" max="4101" width="3.6640625" style="92" customWidth="1"/>
    <col min="4102" max="4102" width="7.6640625" style="92" customWidth="1"/>
    <col min="4103" max="4107" width="16.88671875" style="92" customWidth="1"/>
    <col min="4108" max="4108" width="18.33203125" style="92" customWidth="1"/>
    <col min="4109" max="4109" width="4.6640625" style="92" customWidth="1"/>
    <col min="4110" max="4110" width="26.5546875" style="92" customWidth="1"/>
    <col min="4111" max="4352" width="12.5546875" style="92"/>
    <col min="4353" max="4353" width="8.44140625" style="92" customWidth="1"/>
    <col min="4354" max="4354" width="20.109375" style="92" customWidth="1"/>
    <col min="4355" max="4355" width="20" style="92" customWidth="1"/>
    <col min="4356" max="4356" width="10.88671875" style="92" customWidth="1"/>
    <col min="4357" max="4357" width="3.6640625" style="92" customWidth="1"/>
    <col min="4358" max="4358" width="7.6640625" style="92" customWidth="1"/>
    <col min="4359" max="4363" width="16.88671875" style="92" customWidth="1"/>
    <col min="4364" max="4364" width="18.33203125" style="92" customWidth="1"/>
    <col min="4365" max="4365" width="4.6640625" style="92" customWidth="1"/>
    <col min="4366" max="4366" width="26.5546875" style="92" customWidth="1"/>
    <col min="4367" max="4608" width="12.5546875" style="92"/>
    <col min="4609" max="4609" width="8.44140625" style="92" customWidth="1"/>
    <col min="4610" max="4610" width="20.109375" style="92" customWidth="1"/>
    <col min="4611" max="4611" width="20" style="92" customWidth="1"/>
    <col min="4612" max="4612" width="10.88671875" style="92" customWidth="1"/>
    <col min="4613" max="4613" width="3.6640625" style="92" customWidth="1"/>
    <col min="4614" max="4614" width="7.6640625" style="92" customWidth="1"/>
    <col min="4615" max="4619" width="16.88671875" style="92" customWidth="1"/>
    <col min="4620" max="4620" width="18.33203125" style="92" customWidth="1"/>
    <col min="4621" max="4621" width="4.6640625" style="92" customWidth="1"/>
    <col min="4622" max="4622" width="26.5546875" style="92" customWidth="1"/>
    <col min="4623" max="4864" width="12.5546875" style="92"/>
    <col min="4865" max="4865" width="8.44140625" style="92" customWidth="1"/>
    <col min="4866" max="4866" width="20.109375" style="92" customWidth="1"/>
    <col min="4867" max="4867" width="20" style="92" customWidth="1"/>
    <col min="4868" max="4868" width="10.88671875" style="92" customWidth="1"/>
    <col min="4869" max="4869" width="3.6640625" style="92" customWidth="1"/>
    <col min="4870" max="4870" width="7.6640625" style="92" customWidth="1"/>
    <col min="4871" max="4875" width="16.88671875" style="92" customWidth="1"/>
    <col min="4876" max="4876" width="18.33203125" style="92" customWidth="1"/>
    <col min="4877" max="4877" width="4.6640625" style="92" customWidth="1"/>
    <col min="4878" max="4878" width="26.5546875" style="92" customWidth="1"/>
    <col min="4879" max="5120" width="12.5546875" style="92"/>
    <col min="5121" max="5121" width="8.44140625" style="92" customWidth="1"/>
    <col min="5122" max="5122" width="20.109375" style="92" customWidth="1"/>
    <col min="5123" max="5123" width="20" style="92" customWidth="1"/>
    <col min="5124" max="5124" width="10.88671875" style="92" customWidth="1"/>
    <col min="5125" max="5125" width="3.6640625" style="92" customWidth="1"/>
    <col min="5126" max="5126" width="7.6640625" style="92" customWidth="1"/>
    <col min="5127" max="5131" width="16.88671875" style="92" customWidth="1"/>
    <col min="5132" max="5132" width="18.33203125" style="92" customWidth="1"/>
    <col min="5133" max="5133" width="4.6640625" style="92" customWidth="1"/>
    <col min="5134" max="5134" width="26.5546875" style="92" customWidth="1"/>
    <col min="5135" max="5376" width="12.5546875" style="92"/>
    <col min="5377" max="5377" width="8.44140625" style="92" customWidth="1"/>
    <col min="5378" max="5378" width="20.109375" style="92" customWidth="1"/>
    <col min="5379" max="5379" width="20" style="92" customWidth="1"/>
    <col min="5380" max="5380" width="10.88671875" style="92" customWidth="1"/>
    <col min="5381" max="5381" width="3.6640625" style="92" customWidth="1"/>
    <col min="5382" max="5382" width="7.6640625" style="92" customWidth="1"/>
    <col min="5383" max="5387" width="16.88671875" style="92" customWidth="1"/>
    <col min="5388" max="5388" width="18.33203125" style="92" customWidth="1"/>
    <col min="5389" max="5389" width="4.6640625" style="92" customWidth="1"/>
    <col min="5390" max="5390" width="26.5546875" style="92" customWidth="1"/>
    <col min="5391" max="5632" width="12.5546875" style="92"/>
    <col min="5633" max="5633" width="8.44140625" style="92" customWidth="1"/>
    <col min="5634" max="5634" width="20.109375" style="92" customWidth="1"/>
    <col min="5635" max="5635" width="20" style="92" customWidth="1"/>
    <col min="5636" max="5636" width="10.88671875" style="92" customWidth="1"/>
    <col min="5637" max="5637" width="3.6640625" style="92" customWidth="1"/>
    <col min="5638" max="5638" width="7.6640625" style="92" customWidth="1"/>
    <col min="5639" max="5643" width="16.88671875" style="92" customWidth="1"/>
    <col min="5644" max="5644" width="18.33203125" style="92" customWidth="1"/>
    <col min="5645" max="5645" width="4.6640625" style="92" customWidth="1"/>
    <col min="5646" max="5646" width="26.5546875" style="92" customWidth="1"/>
    <col min="5647" max="5888" width="12.5546875" style="92"/>
    <col min="5889" max="5889" width="8.44140625" style="92" customWidth="1"/>
    <col min="5890" max="5890" width="20.109375" style="92" customWidth="1"/>
    <col min="5891" max="5891" width="20" style="92" customWidth="1"/>
    <col min="5892" max="5892" width="10.88671875" style="92" customWidth="1"/>
    <col min="5893" max="5893" width="3.6640625" style="92" customWidth="1"/>
    <col min="5894" max="5894" width="7.6640625" style="92" customWidth="1"/>
    <col min="5895" max="5899" width="16.88671875" style="92" customWidth="1"/>
    <col min="5900" max="5900" width="18.33203125" style="92" customWidth="1"/>
    <col min="5901" max="5901" width="4.6640625" style="92" customWidth="1"/>
    <col min="5902" max="5902" width="26.5546875" style="92" customWidth="1"/>
    <col min="5903" max="6144" width="12.5546875" style="92"/>
    <col min="6145" max="6145" width="8.44140625" style="92" customWidth="1"/>
    <col min="6146" max="6146" width="20.109375" style="92" customWidth="1"/>
    <col min="6147" max="6147" width="20" style="92" customWidth="1"/>
    <col min="6148" max="6148" width="10.88671875" style="92" customWidth="1"/>
    <col min="6149" max="6149" width="3.6640625" style="92" customWidth="1"/>
    <col min="6150" max="6150" width="7.6640625" style="92" customWidth="1"/>
    <col min="6151" max="6155" width="16.88671875" style="92" customWidth="1"/>
    <col min="6156" max="6156" width="18.33203125" style="92" customWidth="1"/>
    <col min="6157" max="6157" width="4.6640625" style="92" customWidth="1"/>
    <col min="6158" max="6158" width="26.5546875" style="92" customWidth="1"/>
    <col min="6159" max="6400" width="12.5546875" style="92"/>
    <col min="6401" max="6401" width="8.44140625" style="92" customWidth="1"/>
    <col min="6402" max="6402" width="20.109375" style="92" customWidth="1"/>
    <col min="6403" max="6403" width="20" style="92" customWidth="1"/>
    <col min="6404" max="6404" width="10.88671875" style="92" customWidth="1"/>
    <col min="6405" max="6405" width="3.6640625" style="92" customWidth="1"/>
    <col min="6406" max="6406" width="7.6640625" style="92" customWidth="1"/>
    <col min="6407" max="6411" width="16.88671875" style="92" customWidth="1"/>
    <col min="6412" max="6412" width="18.33203125" style="92" customWidth="1"/>
    <col min="6413" max="6413" width="4.6640625" style="92" customWidth="1"/>
    <col min="6414" max="6414" width="26.5546875" style="92" customWidth="1"/>
    <col min="6415" max="6656" width="12.5546875" style="92"/>
    <col min="6657" max="6657" width="8.44140625" style="92" customWidth="1"/>
    <col min="6658" max="6658" width="20.109375" style="92" customWidth="1"/>
    <col min="6659" max="6659" width="20" style="92" customWidth="1"/>
    <col min="6660" max="6660" width="10.88671875" style="92" customWidth="1"/>
    <col min="6661" max="6661" width="3.6640625" style="92" customWidth="1"/>
    <col min="6662" max="6662" width="7.6640625" style="92" customWidth="1"/>
    <col min="6663" max="6667" width="16.88671875" style="92" customWidth="1"/>
    <col min="6668" max="6668" width="18.33203125" style="92" customWidth="1"/>
    <col min="6669" max="6669" width="4.6640625" style="92" customWidth="1"/>
    <col min="6670" max="6670" width="26.5546875" style="92" customWidth="1"/>
    <col min="6671" max="6912" width="12.5546875" style="92"/>
    <col min="6913" max="6913" width="8.44140625" style="92" customWidth="1"/>
    <col min="6914" max="6914" width="20.109375" style="92" customWidth="1"/>
    <col min="6915" max="6915" width="20" style="92" customWidth="1"/>
    <col min="6916" max="6916" width="10.88671875" style="92" customWidth="1"/>
    <col min="6917" max="6917" width="3.6640625" style="92" customWidth="1"/>
    <col min="6918" max="6918" width="7.6640625" style="92" customWidth="1"/>
    <col min="6919" max="6923" width="16.88671875" style="92" customWidth="1"/>
    <col min="6924" max="6924" width="18.33203125" style="92" customWidth="1"/>
    <col min="6925" max="6925" width="4.6640625" style="92" customWidth="1"/>
    <col min="6926" max="6926" width="26.5546875" style="92" customWidth="1"/>
    <col min="6927" max="7168" width="12.5546875" style="92"/>
    <col min="7169" max="7169" width="8.44140625" style="92" customWidth="1"/>
    <col min="7170" max="7170" width="20.109375" style="92" customWidth="1"/>
    <col min="7171" max="7171" width="20" style="92" customWidth="1"/>
    <col min="7172" max="7172" width="10.88671875" style="92" customWidth="1"/>
    <col min="7173" max="7173" width="3.6640625" style="92" customWidth="1"/>
    <col min="7174" max="7174" width="7.6640625" style="92" customWidth="1"/>
    <col min="7175" max="7179" width="16.88671875" style="92" customWidth="1"/>
    <col min="7180" max="7180" width="18.33203125" style="92" customWidth="1"/>
    <col min="7181" max="7181" width="4.6640625" style="92" customWidth="1"/>
    <col min="7182" max="7182" width="26.5546875" style="92" customWidth="1"/>
    <col min="7183" max="7424" width="12.5546875" style="92"/>
    <col min="7425" max="7425" width="8.44140625" style="92" customWidth="1"/>
    <col min="7426" max="7426" width="20.109375" style="92" customWidth="1"/>
    <col min="7427" max="7427" width="20" style="92" customWidth="1"/>
    <col min="7428" max="7428" width="10.88671875" style="92" customWidth="1"/>
    <col min="7429" max="7429" width="3.6640625" style="92" customWidth="1"/>
    <col min="7430" max="7430" width="7.6640625" style="92" customWidth="1"/>
    <col min="7431" max="7435" width="16.88671875" style="92" customWidth="1"/>
    <col min="7436" max="7436" width="18.33203125" style="92" customWidth="1"/>
    <col min="7437" max="7437" width="4.6640625" style="92" customWidth="1"/>
    <col min="7438" max="7438" width="26.5546875" style="92" customWidth="1"/>
    <col min="7439" max="7680" width="12.5546875" style="92"/>
    <col min="7681" max="7681" width="8.44140625" style="92" customWidth="1"/>
    <col min="7682" max="7682" width="20.109375" style="92" customWidth="1"/>
    <col min="7683" max="7683" width="20" style="92" customWidth="1"/>
    <col min="7684" max="7684" width="10.88671875" style="92" customWidth="1"/>
    <col min="7685" max="7685" width="3.6640625" style="92" customWidth="1"/>
    <col min="7686" max="7686" width="7.6640625" style="92" customWidth="1"/>
    <col min="7687" max="7691" width="16.88671875" style="92" customWidth="1"/>
    <col min="7692" max="7692" width="18.33203125" style="92" customWidth="1"/>
    <col min="7693" max="7693" width="4.6640625" style="92" customWidth="1"/>
    <col min="7694" max="7694" width="26.5546875" style="92" customWidth="1"/>
    <col min="7695" max="7936" width="12.5546875" style="92"/>
    <col min="7937" max="7937" width="8.44140625" style="92" customWidth="1"/>
    <col min="7938" max="7938" width="20.109375" style="92" customWidth="1"/>
    <col min="7939" max="7939" width="20" style="92" customWidth="1"/>
    <col min="7940" max="7940" width="10.88671875" style="92" customWidth="1"/>
    <col min="7941" max="7941" width="3.6640625" style="92" customWidth="1"/>
    <col min="7942" max="7942" width="7.6640625" style="92" customWidth="1"/>
    <col min="7943" max="7947" width="16.88671875" style="92" customWidth="1"/>
    <col min="7948" max="7948" width="18.33203125" style="92" customWidth="1"/>
    <col min="7949" max="7949" width="4.6640625" style="92" customWidth="1"/>
    <col min="7950" max="7950" width="26.5546875" style="92" customWidth="1"/>
    <col min="7951" max="8192" width="12.5546875" style="92"/>
    <col min="8193" max="8193" width="8.44140625" style="92" customWidth="1"/>
    <col min="8194" max="8194" width="20.109375" style="92" customWidth="1"/>
    <col min="8195" max="8195" width="20" style="92" customWidth="1"/>
    <col min="8196" max="8196" width="10.88671875" style="92" customWidth="1"/>
    <col min="8197" max="8197" width="3.6640625" style="92" customWidth="1"/>
    <col min="8198" max="8198" width="7.6640625" style="92" customWidth="1"/>
    <col min="8199" max="8203" width="16.88671875" style="92" customWidth="1"/>
    <col min="8204" max="8204" width="18.33203125" style="92" customWidth="1"/>
    <col min="8205" max="8205" width="4.6640625" style="92" customWidth="1"/>
    <col min="8206" max="8206" width="26.5546875" style="92" customWidth="1"/>
    <col min="8207" max="8448" width="12.5546875" style="92"/>
    <col min="8449" max="8449" width="8.44140625" style="92" customWidth="1"/>
    <col min="8450" max="8450" width="20.109375" style="92" customWidth="1"/>
    <col min="8451" max="8451" width="20" style="92" customWidth="1"/>
    <col min="8452" max="8452" width="10.88671875" style="92" customWidth="1"/>
    <col min="8453" max="8453" width="3.6640625" style="92" customWidth="1"/>
    <col min="8454" max="8454" width="7.6640625" style="92" customWidth="1"/>
    <col min="8455" max="8459" width="16.88671875" style="92" customWidth="1"/>
    <col min="8460" max="8460" width="18.33203125" style="92" customWidth="1"/>
    <col min="8461" max="8461" width="4.6640625" style="92" customWidth="1"/>
    <col min="8462" max="8462" width="26.5546875" style="92" customWidth="1"/>
    <col min="8463" max="8704" width="12.5546875" style="92"/>
    <col min="8705" max="8705" width="8.44140625" style="92" customWidth="1"/>
    <col min="8706" max="8706" width="20.109375" style="92" customWidth="1"/>
    <col min="8707" max="8707" width="20" style="92" customWidth="1"/>
    <col min="8708" max="8708" width="10.88671875" style="92" customWidth="1"/>
    <col min="8709" max="8709" width="3.6640625" style="92" customWidth="1"/>
    <col min="8710" max="8710" width="7.6640625" style="92" customWidth="1"/>
    <col min="8711" max="8715" width="16.88671875" style="92" customWidth="1"/>
    <col min="8716" max="8716" width="18.33203125" style="92" customWidth="1"/>
    <col min="8717" max="8717" width="4.6640625" style="92" customWidth="1"/>
    <col min="8718" max="8718" width="26.5546875" style="92" customWidth="1"/>
    <col min="8719" max="8960" width="12.5546875" style="92"/>
    <col min="8961" max="8961" width="8.44140625" style="92" customWidth="1"/>
    <col min="8962" max="8962" width="20.109375" style="92" customWidth="1"/>
    <col min="8963" max="8963" width="20" style="92" customWidth="1"/>
    <col min="8964" max="8964" width="10.88671875" style="92" customWidth="1"/>
    <col min="8965" max="8965" width="3.6640625" style="92" customWidth="1"/>
    <col min="8966" max="8966" width="7.6640625" style="92" customWidth="1"/>
    <col min="8967" max="8971" width="16.88671875" style="92" customWidth="1"/>
    <col min="8972" max="8972" width="18.33203125" style="92" customWidth="1"/>
    <col min="8973" max="8973" width="4.6640625" style="92" customWidth="1"/>
    <col min="8974" max="8974" width="26.5546875" style="92" customWidth="1"/>
    <col min="8975" max="9216" width="12.5546875" style="92"/>
    <col min="9217" max="9217" width="8.44140625" style="92" customWidth="1"/>
    <col min="9218" max="9218" width="20.109375" style="92" customWidth="1"/>
    <col min="9219" max="9219" width="20" style="92" customWidth="1"/>
    <col min="9220" max="9220" width="10.88671875" style="92" customWidth="1"/>
    <col min="9221" max="9221" width="3.6640625" style="92" customWidth="1"/>
    <col min="9222" max="9222" width="7.6640625" style="92" customWidth="1"/>
    <col min="9223" max="9227" width="16.88671875" style="92" customWidth="1"/>
    <col min="9228" max="9228" width="18.33203125" style="92" customWidth="1"/>
    <col min="9229" max="9229" width="4.6640625" style="92" customWidth="1"/>
    <col min="9230" max="9230" width="26.5546875" style="92" customWidth="1"/>
    <col min="9231" max="9472" width="12.5546875" style="92"/>
    <col min="9473" max="9473" width="8.44140625" style="92" customWidth="1"/>
    <col min="9474" max="9474" width="20.109375" style="92" customWidth="1"/>
    <col min="9475" max="9475" width="20" style="92" customWidth="1"/>
    <col min="9476" max="9476" width="10.88671875" style="92" customWidth="1"/>
    <col min="9477" max="9477" width="3.6640625" style="92" customWidth="1"/>
    <col min="9478" max="9478" width="7.6640625" style="92" customWidth="1"/>
    <col min="9479" max="9483" width="16.88671875" style="92" customWidth="1"/>
    <col min="9484" max="9484" width="18.33203125" style="92" customWidth="1"/>
    <col min="9485" max="9485" width="4.6640625" style="92" customWidth="1"/>
    <col min="9486" max="9486" width="26.5546875" style="92" customWidth="1"/>
    <col min="9487" max="9728" width="12.5546875" style="92"/>
    <col min="9729" max="9729" width="8.44140625" style="92" customWidth="1"/>
    <col min="9730" max="9730" width="20.109375" style="92" customWidth="1"/>
    <col min="9731" max="9731" width="20" style="92" customWidth="1"/>
    <col min="9732" max="9732" width="10.88671875" style="92" customWidth="1"/>
    <col min="9733" max="9733" width="3.6640625" style="92" customWidth="1"/>
    <col min="9734" max="9734" width="7.6640625" style="92" customWidth="1"/>
    <col min="9735" max="9739" width="16.88671875" style="92" customWidth="1"/>
    <col min="9740" max="9740" width="18.33203125" style="92" customWidth="1"/>
    <col min="9741" max="9741" width="4.6640625" style="92" customWidth="1"/>
    <col min="9742" max="9742" width="26.5546875" style="92" customWidth="1"/>
    <col min="9743" max="9984" width="12.5546875" style="92"/>
    <col min="9985" max="9985" width="8.44140625" style="92" customWidth="1"/>
    <col min="9986" max="9986" width="20.109375" style="92" customWidth="1"/>
    <col min="9987" max="9987" width="20" style="92" customWidth="1"/>
    <col min="9988" max="9988" width="10.88671875" style="92" customWidth="1"/>
    <col min="9989" max="9989" width="3.6640625" style="92" customWidth="1"/>
    <col min="9990" max="9990" width="7.6640625" style="92" customWidth="1"/>
    <col min="9991" max="9995" width="16.88671875" style="92" customWidth="1"/>
    <col min="9996" max="9996" width="18.33203125" style="92" customWidth="1"/>
    <col min="9997" max="9997" width="4.6640625" style="92" customWidth="1"/>
    <col min="9998" max="9998" width="26.5546875" style="92" customWidth="1"/>
    <col min="9999" max="10240" width="12.5546875" style="92"/>
    <col min="10241" max="10241" width="8.44140625" style="92" customWidth="1"/>
    <col min="10242" max="10242" width="20.109375" style="92" customWidth="1"/>
    <col min="10243" max="10243" width="20" style="92" customWidth="1"/>
    <col min="10244" max="10244" width="10.88671875" style="92" customWidth="1"/>
    <col min="10245" max="10245" width="3.6640625" style="92" customWidth="1"/>
    <col min="10246" max="10246" width="7.6640625" style="92" customWidth="1"/>
    <col min="10247" max="10251" width="16.88671875" style="92" customWidth="1"/>
    <col min="10252" max="10252" width="18.33203125" style="92" customWidth="1"/>
    <col min="10253" max="10253" width="4.6640625" style="92" customWidth="1"/>
    <col min="10254" max="10254" width="26.5546875" style="92" customWidth="1"/>
    <col min="10255" max="10496" width="12.5546875" style="92"/>
    <col min="10497" max="10497" width="8.44140625" style="92" customWidth="1"/>
    <col min="10498" max="10498" width="20.109375" style="92" customWidth="1"/>
    <col min="10499" max="10499" width="20" style="92" customWidth="1"/>
    <col min="10500" max="10500" width="10.88671875" style="92" customWidth="1"/>
    <col min="10501" max="10501" width="3.6640625" style="92" customWidth="1"/>
    <col min="10502" max="10502" width="7.6640625" style="92" customWidth="1"/>
    <col min="10503" max="10507" width="16.88671875" style="92" customWidth="1"/>
    <col min="10508" max="10508" width="18.33203125" style="92" customWidth="1"/>
    <col min="10509" max="10509" width="4.6640625" style="92" customWidth="1"/>
    <col min="10510" max="10510" width="26.5546875" style="92" customWidth="1"/>
    <col min="10511" max="10752" width="12.5546875" style="92"/>
    <col min="10753" max="10753" width="8.44140625" style="92" customWidth="1"/>
    <col min="10754" max="10754" width="20.109375" style="92" customWidth="1"/>
    <col min="10755" max="10755" width="20" style="92" customWidth="1"/>
    <col min="10756" max="10756" width="10.88671875" style="92" customWidth="1"/>
    <col min="10757" max="10757" width="3.6640625" style="92" customWidth="1"/>
    <col min="10758" max="10758" width="7.6640625" style="92" customWidth="1"/>
    <col min="10759" max="10763" width="16.88671875" style="92" customWidth="1"/>
    <col min="10764" max="10764" width="18.33203125" style="92" customWidth="1"/>
    <col min="10765" max="10765" width="4.6640625" style="92" customWidth="1"/>
    <col min="10766" max="10766" width="26.5546875" style="92" customWidth="1"/>
    <col min="10767" max="11008" width="12.5546875" style="92"/>
    <col min="11009" max="11009" width="8.44140625" style="92" customWidth="1"/>
    <col min="11010" max="11010" width="20.109375" style="92" customWidth="1"/>
    <col min="11011" max="11011" width="20" style="92" customWidth="1"/>
    <col min="11012" max="11012" width="10.88671875" style="92" customWidth="1"/>
    <col min="11013" max="11013" width="3.6640625" style="92" customWidth="1"/>
    <col min="11014" max="11014" width="7.6640625" style="92" customWidth="1"/>
    <col min="11015" max="11019" width="16.88671875" style="92" customWidth="1"/>
    <col min="11020" max="11020" width="18.33203125" style="92" customWidth="1"/>
    <col min="11021" max="11021" width="4.6640625" style="92" customWidth="1"/>
    <col min="11022" max="11022" width="26.5546875" style="92" customWidth="1"/>
    <col min="11023" max="11264" width="12.5546875" style="92"/>
    <col min="11265" max="11265" width="8.44140625" style="92" customWidth="1"/>
    <col min="11266" max="11266" width="20.109375" style="92" customWidth="1"/>
    <col min="11267" max="11267" width="20" style="92" customWidth="1"/>
    <col min="11268" max="11268" width="10.88671875" style="92" customWidth="1"/>
    <col min="11269" max="11269" width="3.6640625" style="92" customWidth="1"/>
    <col min="11270" max="11270" width="7.6640625" style="92" customWidth="1"/>
    <col min="11271" max="11275" width="16.88671875" style="92" customWidth="1"/>
    <col min="11276" max="11276" width="18.33203125" style="92" customWidth="1"/>
    <col min="11277" max="11277" width="4.6640625" style="92" customWidth="1"/>
    <col min="11278" max="11278" width="26.5546875" style="92" customWidth="1"/>
    <col min="11279" max="11520" width="12.5546875" style="92"/>
    <col min="11521" max="11521" width="8.44140625" style="92" customWidth="1"/>
    <col min="11522" max="11522" width="20.109375" style="92" customWidth="1"/>
    <col min="11523" max="11523" width="20" style="92" customWidth="1"/>
    <col min="11524" max="11524" width="10.88671875" style="92" customWidth="1"/>
    <col min="11525" max="11525" width="3.6640625" style="92" customWidth="1"/>
    <col min="11526" max="11526" width="7.6640625" style="92" customWidth="1"/>
    <col min="11527" max="11531" width="16.88671875" style="92" customWidth="1"/>
    <col min="11532" max="11532" width="18.33203125" style="92" customWidth="1"/>
    <col min="11533" max="11533" width="4.6640625" style="92" customWidth="1"/>
    <col min="11534" max="11534" width="26.5546875" style="92" customWidth="1"/>
    <col min="11535" max="11776" width="12.5546875" style="92"/>
    <col min="11777" max="11777" width="8.44140625" style="92" customWidth="1"/>
    <col min="11778" max="11778" width="20.109375" style="92" customWidth="1"/>
    <col min="11779" max="11779" width="20" style="92" customWidth="1"/>
    <col min="11780" max="11780" width="10.88671875" style="92" customWidth="1"/>
    <col min="11781" max="11781" width="3.6640625" style="92" customWidth="1"/>
    <col min="11782" max="11782" width="7.6640625" style="92" customWidth="1"/>
    <col min="11783" max="11787" width="16.88671875" style="92" customWidth="1"/>
    <col min="11788" max="11788" width="18.33203125" style="92" customWidth="1"/>
    <col min="11789" max="11789" width="4.6640625" style="92" customWidth="1"/>
    <col min="11790" max="11790" width="26.5546875" style="92" customWidth="1"/>
    <col min="11791" max="12032" width="12.5546875" style="92"/>
    <col min="12033" max="12033" width="8.44140625" style="92" customWidth="1"/>
    <col min="12034" max="12034" width="20.109375" style="92" customWidth="1"/>
    <col min="12035" max="12035" width="20" style="92" customWidth="1"/>
    <col min="12036" max="12036" width="10.88671875" style="92" customWidth="1"/>
    <col min="12037" max="12037" width="3.6640625" style="92" customWidth="1"/>
    <col min="12038" max="12038" width="7.6640625" style="92" customWidth="1"/>
    <col min="12039" max="12043" width="16.88671875" style="92" customWidth="1"/>
    <col min="12044" max="12044" width="18.33203125" style="92" customWidth="1"/>
    <col min="12045" max="12045" width="4.6640625" style="92" customWidth="1"/>
    <col min="12046" max="12046" width="26.5546875" style="92" customWidth="1"/>
    <col min="12047" max="12288" width="12.5546875" style="92"/>
    <col min="12289" max="12289" width="8.44140625" style="92" customWidth="1"/>
    <col min="12290" max="12290" width="20.109375" style="92" customWidth="1"/>
    <col min="12291" max="12291" width="20" style="92" customWidth="1"/>
    <col min="12292" max="12292" width="10.88671875" style="92" customWidth="1"/>
    <col min="12293" max="12293" width="3.6640625" style="92" customWidth="1"/>
    <col min="12294" max="12294" width="7.6640625" style="92" customWidth="1"/>
    <col min="12295" max="12299" width="16.88671875" style="92" customWidth="1"/>
    <col min="12300" max="12300" width="18.33203125" style="92" customWidth="1"/>
    <col min="12301" max="12301" width="4.6640625" style="92" customWidth="1"/>
    <col min="12302" max="12302" width="26.5546875" style="92" customWidth="1"/>
    <col min="12303" max="12544" width="12.5546875" style="92"/>
    <col min="12545" max="12545" width="8.44140625" style="92" customWidth="1"/>
    <col min="12546" max="12546" width="20.109375" style="92" customWidth="1"/>
    <col min="12547" max="12547" width="20" style="92" customWidth="1"/>
    <col min="12548" max="12548" width="10.88671875" style="92" customWidth="1"/>
    <col min="12549" max="12549" width="3.6640625" style="92" customWidth="1"/>
    <col min="12550" max="12550" width="7.6640625" style="92" customWidth="1"/>
    <col min="12551" max="12555" width="16.88671875" style="92" customWidth="1"/>
    <col min="12556" max="12556" width="18.33203125" style="92" customWidth="1"/>
    <col min="12557" max="12557" width="4.6640625" style="92" customWidth="1"/>
    <col min="12558" max="12558" width="26.5546875" style="92" customWidth="1"/>
    <col min="12559" max="12800" width="12.5546875" style="92"/>
    <col min="12801" max="12801" width="8.44140625" style="92" customWidth="1"/>
    <col min="12802" max="12802" width="20.109375" style="92" customWidth="1"/>
    <col min="12803" max="12803" width="20" style="92" customWidth="1"/>
    <col min="12804" max="12804" width="10.88671875" style="92" customWidth="1"/>
    <col min="12805" max="12805" width="3.6640625" style="92" customWidth="1"/>
    <col min="12806" max="12806" width="7.6640625" style="92" customWidth="1"/>
    <col min="12807" max="12811" width="16.88671875" style="92" customWidth="1"/>
    <col min="12812" max="12812" width="18.33203125" style="92" customWidth="1"/>
    <col min="12813" max="12813" width="4.6640625" style="92" customWidth="1"/>
    <col min="12814" max="12814" width="26.5546875" style="92" customWidth="1"/>
    <col min="12815" max="13056" width="12.5546875" style="92"/>
    <col min="13057" max="13057" width="8.44140625" style="92" customWidth="1"/>
    <col min="13058" max="13058" width="20.109375" style="92" customWidth="1"/>
    <col min="13059" max="13059" width="20" style="92" customWidth="1"/>
    <col min="13060" max="13060" width="10.88671875" style="92" customWidth="1"/>
    <col min="13061" max="13061" width="3.6640625" style="92" customWidth="1"/>
    <col min="13062" max="13062" width="7.6640625" style="92" customWidth="1"/>
    <col min="13063" max="13067" width="16.88671875" style="92" customWidth="1"/>
    <col min="13068" max="13068" width="18.33203125" style="92" customWidth="1"/>
    <col min="13069" max="13069" width="4.6640625" style="92" customWidth="1"/>
    <col min="13070" max="13070" width="26.5546875" style="92" customWidth="1"/>
    <col min="13071" max="13312" width="12.5546875" style="92"/>
    <col min="13313" max="13313" width="8.44140625" style="92" customWidth="1"/>
    <col min="13314" max="13314" width="20.109375" style="92" customWidth="1"/>
    <col min="13315" max="13315" width="20" style="92" customWidth="1"/>
    <col min="13316" max="13316" width="10.88671875" style="92" customWidth="1"/>
    <col min="13317" max="13317" width="3.6640625" style="92" customWidth="1"/>
    <col min="13318" max="13318" width="7.6640625" style="92" customWidth="1"/>
    <col min="13319" max="13323" width="16.88671875" style="92" customWidth="1"/>
    <col min="13324" max="13324" width="18.33203125" style="92" customWidth="1"/>
    <col min="13325" max="13325" width="4.6640625" style="92" customWidth="1"/>
    <col min="13326" max="13326" width="26.5546875" style="92" customWidth="1"/>
    <col min="13327" max="13568" width="12.5546875" style="92"/>
    <col min="13569" max="13569" width="8.44140625" style="92" customWidth="1"/>
    <col min="13570" max="13570" width="20.109375" style="92" customWidth="1"/>
    <col min="13571" max="13571" width="20" style="92" customWidth="1"/>
    <col min="13572" max="13572" width="10.88671875" style="92" customWidth="1"/>
    <col min="13573" max="13573" width="3.6640625" style="92" customWidth="1"/>
    <col min="13574" max="13574" width="7.6640625" style="92" customWidth="1"/>
    <col min="13575" max="13579" width="16.88671875" style="92" customWidth="1"/>
    <col min="13580" max="13580" width="18.33203125" style="92" customWidth="1"/>
    <col min="13581" max="13581" width="4.6640625" style="92" customWidth="1"/>
    <col min="13582" max="13582" width="26.5546875" style="92" customWidth="1"/>
    <col min="13583" max="13824" width="12.5546875" style="92"/>
    <col min="13825" max="13825" width="8.44140625" style="92" customWidth="1"/>
    <col min="13826" max="13826" width="20.109375" style="92" customWidth="1"/>
    <col min="13827" max="13827" width="20" style="92" customWidth="1"/>
    <col min="13828" max="13828" width="10.88671875" style="92" customWidth="1"/>
    <col min="13829" max="13829" width="3.6640625" style="92" customWidth="1"/>
    <col min="13830" max="13830" width="7.6640625" style="92" customWidth="1"/>
    <col min="13831" max="13835" width="16.88671875" style="92" customWidth="1"/>
    <col min="13836" max="13836" width="18.33203125" style="92" customWidth="1"/>
    <col min="13837" max="13837" width="4.6640625" style="92" customWidth="1"/>
    <col min="13838" max="13838" width="26.5546875" style="92" customWidth="1"/>
    <col min="13839" max="14080" width="12.5546875" style="92"/>
    <col min="14081" max="14081" width="8.44140625" style="92" customWidth="1"/>
    <col min="14082" max="14082" width="20.109375" style="92" customWidth="1"/>
    <col min="14083" max="14083" width="20" style="92" customWidth="1"/>
    <col min="14084" max="14084" width="10.88671875" style="92" customWidth="1"/>
    <col min="14085" max="14085" width="3.6640625" style="92" customWidth="1"/>
    <col min="14086" max="14086" width="7.6640625" style="92" customWidth="1"/>
    <col min="14087" max="14091" width="16.88671875" style="92" customWidth="1"/>
    <col min="14092" max="14092" width="18.33203125" style="92" customWidth="1"/>
    <col min="14093" max="14093" width="4.6640625" style="92" customWidth="1"/>
    <col min="14094" max="14094" width="26.5546875" style="92" customWidth="1"/>
    <col min="14095" max="14336" width="12.5546875" style="92"/>
    <col min="14337" max="14337" width="8.44140625" style="92" customWidth="1"/>
    <col min="14338" max="14338" width="20.109375" style="92" customWidth="1"/>
    <col min="14339" max="14339" width="20" style="92" customWidth="1"/>
    <col min="14340" max="14340" width="10.88671875" style="92" customWidth="1"/>
    <col min="14341" max="14341" width="3.6640625" style="92" customWidth="1"/>
    <col min="14342" max="14342" width="7.6640625" style="92" customWidth="1"/>
    <col min="14343" max="14347" width="16.88671875" style="92" customWidth="1"/>
    <col min="14348" max="14348" width="18.33203125" style="92" customWidth="1"/>
    <col min="14349" max="14349" width="4.6640625" style="92" customWidth="1"/>
    <col min="14350" max="14350" width="26.5546875" style="92" customWidth="1"/>
    <col min="14351" max="14592" width="12.5546875" style="92"/>
    <col min="14593" max="14593" width="8.44140625" style="92" customWidth="1"/>
    <col min="14594" max="14594" width="20.109375" style="92" customWidth="1"/>
    <col min="14595" max="14595" width="20" style="92" customWidth="1"/>
    <col min="14596" max="14596" width="10.88671875" style="92" customWidth="1"/>
    <col min="14597" max="14597" width="3.6640625" style="92" customWidth="1"/>
    <col min="14598" max="14598" width="7.6640625" style="92" customWidth="1"/>
    <col min="14599" max="14603" width="16.88671875" style="92" customWidth="1"/>
    <col min="14604" max="14604" width="18.33203125" style="92" customWidth="1"/>
    <col min="14605" max="14605" width="4.6640625" style="92" customWidth="1"/>
    <col min="14606" max="14606" width="26.5546875" style="92" customWidth="1"/>
    <col min="14607" max="14848" width="12.5546875" style="92"/>
    <col min="14849" max="14849" width="8.44140625" style="92" customWidth="1"/>
    <col min="14850" max="14850" width="20.109375" style="92" customWidth="1"/>
    <col min="14851" max="14851" width="20" style="92" customWidth="1"/>
    <col min="14852" max="14852" width="10.88671875" style="92" customWidth="1"/>
    <col min="14853" max="14853" width="3.6640625" style="92" customWidth="1"/>
    <col min="14854" max="14854" width="7.6640625" style="92" customWidth="1"/>
    <col min="14855" max="14859" width="16.88671875" style="92" customWidth="1"/>
    <col min="14860" max="14860" width="18.33203125" style="92" customWidth="1"/>
    <col min="14861" max="14861" width="4.6640625" style="92" customWidth="1"/>
    <col min="14862" max="14862" width="26.5546875" style="92" customWidth="1"/>
    <col min="14863" max="15104" width="12.5546875" style="92"/>
    <col min="15105" max="15105" width="8.44140625" style="92" customWidth="1"/>
    <col min="15106" max="15106" width="20.109375" style="92" customWidth="1"/>
    <col min="15107" max="15107" width="20" style="92" customWidth="1"/>
    <col min="15108" max="15108" width="10.88671875" style="92" customWidth="1"/>
    <col min="15109" max="15109" width="3.6640625" style="92" customWidth="1"/>
    <col min="15110" max="15110" width="7.6640625" style="92" customWidth="1"/>
    <col min="15111" max="15115" width="16.88671875" style="92" customWidth="1"/>
    <col min="15116" max="15116" width="18.33203125" style="92" customWidth="1"/>
    <col min="15117" max="15117" width="4.6640625" style="92" customWidth="1"/>
    <col min="15118" max="15118" width="26.5546875" style="92" customWidth="1"/>
    <col min="15119" max="15360" width="12.5546875" style="92"/>
    <col min="15361" max="15361" width="8.44140625" style="92" customWidth="1"/>
    <col min="15362" max="15362" width="20.109375" style="92" customWidth="1"/>
    <col min="15363" max="15363" width="20" style="92" customWidth="1"/>
    <col min="15364" max="15364" width="10.88671875" style="92" customWidth="1"/>
    <col min="15365" max="15365" width="3.6640625" style="92" customWidth="1"/>
    <col min="15366" max="15366" width="7.6640625" style="92" customWidth="1"/>
    <col min="15367" max="15371" width="16.88671875" style="92" customWidth="1"/>
    <col min="15372" max="15372" width="18.33203125" style="92" customWidth="1"/>
    <col min="15373" max="15373" width="4.6640625" style="92" customWidth="1"/>
    <col min="15374" max="15374" width="26.5546875" style="92" customWidth="1"/>
    <col min="15375" max="15616" width="12.5546875" style="92"/>
    <col min="15617" max="15617" width="8.44140625" style="92" customWidth="1"/>
    <col min="15618" max="15618" width="20.109375" style="92" customWidth="1"/>
    <col min="15619" max="15619" width="20" style="92" customWidth="1"/>
    <col min="15620" max="15620" width="10.88671875" style="92" customWidth="1"/>
    <col min="15621" max="15621" width="3.6640625" style="92" customWidth="1"/>
    <col min="15622" max="15622" width="7.6640625" style="92" customWidth="1"/>
    <col min="15623" max="15627" width="16.88671875" style="92" customWidth="1"/>
    <col min="15628" max="15628" width="18.33203125" style="92" customWidth="1"/>
    <col min="15629" max="15629" width="4.6640625" style="92" customWidth="1"/>
    <col min="15630" max="15630" width="26.5546875" style="92" customWidth="1"/>
    <col min="15631" max="15872" width="12.5546875" style="92"/>
    <col min="15873" max="15873" width="8.44140625" style="92" customWidth="1"/>
    <col min="15874" max="15874" width="20.109375" style="92" customWidth="1"/>
    <col min="15875" max="15875" width="20" style="92" customWidth="1"/>
    <col min="15876" max="15876" width="10.88671875" style="92" customWidth="1"/>
    <col min="15877" max="15877" width="3.6640625" style="92" customWidth="1"/>
    <col min="15878" max="15878" width="7.6640625" style="92" customWidth="1"/>
    <col min="15879" max="15883" width="16.88671875" style="92" customWidth="1"/>
    <col min="15884" max="15884" width="18.33203125" style="92" customWidth="1"/>
    <col min="15885" max="15885" width="4.6640625" style="92" customWidth="1"/>
    <col min="15886" max="15886" width="26.5546875" style="92" customWidth="1"/>
    <col min="15887" max="16128" width="12.5546875" style="92"/>
    <col min="16129" max="16129" width="8.44140625" style="92" customWidth="1"/>
    <col min="16130" max="16130" width="20.109375" style="92" customWidth="1"/>
    <col min="16131" max="16131" width="20" style="92" customWidth="1"/>
    <col min="16132" max="16132" width="10.88671875" style="92" customWidth="1"/>
    <col min="16133" max="16133" width="3.6640625" style="92" customWidth="1"/>
    <col min="16134" max="16134" width="7.6640625" style="92" customWidth="1"/>
    <col min="16135" max="16139" width="16.88671875" style="92" customWidth="1"/>
    <col min="16140" max="16140" width="18.33203125" style="92" customWidth="1"/>
    <col min="16141" max="16141" width="4.6640625" style="92" customWidth="1"/>
    <col min="16142" max="16142" width="26.5546875" style="92" customWidth="1"/>
    <col min="16143" max="16384" width="12.5546875" style="92"/>
  </cols>
  <sheetData>
    <row r="1" spans="1:14" ht="16.5" customHeight="1">
      <c r="L1" s="93" t="s">
        <v>185</v>
      </c>
    </row>
    <row r="2" spans="1:14" ht="7.5" customHeight="1">
      <c r="L2" s="94"/>
    </row>
    <row r="3" spans="1:14" ht="15.75" customHeight="1">
      <c r="A3" s="95"/>
      <c r="B3" s="96"/>
      <c r="C3" s="1338" t="str">
        <f>'F1  Cover'!K6</f>
        <v>X.002-180-2024/1RF</v>
      </c>
      <c r="D3" s="1339"/>
      <c r="E3" s="97"/>
      <c r="F3" s="1340"/>
      <c r="G3" s="1340"/>
      <c r="H3" s="583">
        <f>'F1  Cover'!L8</f>
        <v>46053</v>
      </c>
      <c r="I3" s="98"/>
      <c r="J3" s="99" t="s">
        <v>186</v>
      </c>
      <c r="K3" s="1341">
        <f>'F1  Cover'!K8</f>
        <v>1</v>
      </c>
      <c r="L3" s="1342"/>
    </row>
    <row r="4" spans="1:14" ht="15.75" customHeight="1" thickBot="1">
      <c r="A4" s="100"/>
      <c r="B4" s="101"/>
      <c r="C4" s="101"/>
      <c r="D4" s="101"/>
      <c r="E4" s="101"/>
      <c r="F4" s="102"/>
      <c r="G4" s="101"/>
      <c r="H4" s="101"/>
      <c r="I4" s="101"/>
      <c r="J4" s="101"/>
      <c r="K4" s="103"/>
      <c r="L4" s="104"/>
      <c r="M4" s="101"/>
    </row>
    <row r="5" spans="1:14" ht="15.75" customHeight="1">
      <c r="A5" s="105"/>
      <c r="B5" s="106"/>
      <c r="C5" s="106"/>
      <c r="D5" s="106"/>
      <c r="E5" s="106"/>
      <c r="F5" s="107"/>
      <c r="G5" s="106"/>
      <c r="H5" s="106"/>
      <c r="I5" s="106"/>
      <c r="J5" s="106"/>
      <c r="K5" s="108"/>
      <c r="L5" s="109"/>
      <c r="M5" s="101"/>
    </row>
    <row r="6" spans="1:14" ht="15.75" customHeight="1">
      <c r="A6" s="1343" t="s">
        <v>187</v>
      </c>
      <c r="B6" s="1344"/>
      <c r="C6" s="1344"/>
      <c r="D6" s="1344"/>
      <c r="E6" s="1344"/>
      <c r="F6" s="1344"/>
      <c r="G6" s="1344"/>
      <c r="H6" s="1344"/>
      <c r="I6" s="1344"/>
      <c r="J6" s="1344"/>
      <c r="K6" s="1344"/>
      <c r="L6" s="1345"/>
      <c r="M6" s="101"/>
    </row>
    <row r="7" spans="1:14" ht="15.75" customHeight="1" thickBot="1">
      <c r="A7" s="110"/>
      <c r="B7" s="101"/>
      <c r="C7" s="101"/>
      <c r="D7" s="101"/>
      <c r="E7" s="101"/>
      <c r="F7" s="101"/>
      <c r="G7" s="101"/>
      <c r="H7" s="101"/>
      <c r="I7" s="101"/>
      <c r="J7" s="101"/>
      <c r="K7" s="101"/>
      <c r="L7" s="111"/>
      <c r="M7" s="101"/>
    </row>
    <row r="8" spans="1:14" ht="15.75" customHeight="1">
      <c r="A8" s="112"/>
      <c r="B8" s="113"/>
      <c r="C8" s="113"/>
      <c r="D8" s="113"/>
      <c r="E8" s="113"/>
      <c r="F8" s="114"/>
      <c r="G8" s="115"/>
      <c r="H8" s="115"/>
      <c r="I8" s="115"/>
      <c r="J8" s="115"/>
      <c r="K8" s="481"/>
      <c r="L8" s="487"/>
      <c r="M8" s="101"/>
    </row>
    <row r="9" spans="1:14" ht="15.75" customHeight="1">
      <c r="A9" s="116"/>
      <c r="B9" s="117" t="s">
        <v>124</v>
      </c>
      <c r="D9" s="117"/>
      <c r="E9" s="117"/>
      <c r="F9" s="118" t="s">
        <v>188</v>
      </c>
      <c r="G9" s="119"/>
      <c r="H9" s="119"/>
      <c r="I9" s="119"/>
      <c r="J9" s="119"/>
      <c r="K9" s="482"/>
      <c r="L9" s="488" t="s">
        <v>50</v>
      </c>
      <c r="M9" s="101"/>
    </row>
    <row r="10" spans="1:14" ht="15.6">
      <c r="A10" s="116"/>
      <c r="B10" s="117"/>
      <c r="C10" s="117"/>
      <c r="D10" s="117"/>
      <c r="E10" s="117"/>
      <c r="F10" s="120" t="s">
        <v>189</v>
      </c>
      <c r="G10" s="121"/>
      <c r="H10" s="122" t="s">
        <v>190</v>
      </c>
      <c r="I10" s="121"/>
      <c r="J10" s="122" t="s">
        <v>191</v>
      </c>
      <c r="K10" s="60"/>
      <c r="L10" s="488"/>
      <c r="M10" s="101"/>
    </row>
    <row r="11" spans="1:14" ht="15.75" customHeight="1" thickBot="1">
      <c r="A11" s="123"/>
      <c r="B11" s="124"/>
      <c r="C11" s="124"/>
      <c r="D11" s="124"/>
      <c r="E11" s="124"/>
      <c r="F11" s="125"/>
      <c r="G11" s="126"/>
      <c r="H11" s="127" t="s">
        <v>192</v>
      </c>
      <c r="I11" s="126"/>
      <c r="J11" s="127" t="s">
        <v>192</v>
      </c>
      <c r="K11" s="483"/>
      <c r="L11" s="489" t="s">
        <v>192</v>
      </c>
      <c r="M11" s="101"/>
    </row>
    <row r="12" spans="1:14" ht="15.6">
      <c r="A12" s="128">
        <v>1</v>
      </c>
      <c r="B12" s="129" t="s">
        <v>193</v>
      </c>
      <c r="C12" s="129"/>
      <c r="D12" s="129"/>
      <c r="E12" s="129"/>
      <c r="F12" s="130">
        <v>2</v>
      </c>
      <c r="G12" s="131"/>
      <c r="H12" s="132">
        <f>'Pg 2 Sum Scheduled'!$J$17</f>
        <v>0</v>
      </c>
      <c r="I12" s="131"/>
      <c r="J12" s="132">
        <f>'Pg 2 Sum Scheduled'!$J$18</f>
        <v>0</v>
      </c>
      <c r="K12" s="484"/>
      <c r="L12" s="490">
        <f>H12+J12</f>
        <v>0</v>
      </c>
      <c r="M12" s="101"/>
      <c r="N12" s="133"/>
    </row>
    <row r="13" spans="1:14" ht="15.6">
      <c r="A13" s="134">
        <v>2</v>
      </c>
      <c r="B13" s="135" t="s">
        <v>194</v>
      </c>
      <c r="C13" s="135"/>
      <c r="D13" s="135"/>
      <c r="E13" s="135"/>
      <c r="F13" s="136">
        <v>6</v>
      </c>
      <c r="G13" s="131"/>
      <c r="H13" s="132">
        <f>'Pg 6 WAF with CPI'!$L$31</f>
        <v>0</v>
      </c>
      <c r="I13" s="131"/>
      <c r="J13" s="132">
        <f>'Pg 6 WAF with CPI'!$L$32</f>
        <v>0</v>
      </c>
      <c r="K13" s="484"/>
      <c r="L13" s="491">
        <f>H13+J13</f>
        <v>0</v>
      </c>
      <c r="M13" s="101"/>
      <c r="N13" s="133"/>
    </row>
    <row r="14" spans="1:14" ht="15.6">
      <c r="A14" s="134">
        <v>2</v>
      </c>
      <c r="B14" s="135" t="s">
        <v>195</v>
      </c>
      <c r="C14" s="135"/>
      <c r="D14" s="135"/>
      <c r="E14" s="135"/>
      <c r="F14" s="136">
        <v>7</v>
      </c>
      <c r="G14" s="131"/>
      <c r="H14" s="132">
        <f>'Pg 7 WAF No CPI'!$L$31</f>
        <v>0</v>
      </c>
      <c r="I14" s="131"/>
      <c r="J14" s="132">
        <f>'Pg 7 WAF No CPI'!$L$32</f>
        <v>0</v>
      </c>
      <c r="K14" s="484"/>
      <c r="L14" s="491">
        <f>H14+J14</f>
        <v>0</v>
      </c>
      <c r="M14" s="101"/>
      <c r="N14" s="133"/>
    </row>
    <row r="15" spans="1:14" ht="15.6">
      <c r="A15" s="134">
        <v>3</v>
      </c>
      <c r="B15" s="135"/>
      <c r="C15" s="135" t="s">
        <v>196</v>
      </c>
      <c r="D15" s="135"/>
      <c r="E15" s="135"/>
      <c r="F15" s="136"/>
      <c r="G15" s="137"/>
      <c r="H15" s="138">
        <f>SUM(H12:H14)</f>
        <v>0</v>
      </c>
      <c r="I15" s="509"/>
      <c r="J15" s="138">
        <f>SUM(J12:J14)</f>
        <v>0</v>
      </c>
      <c r="K15" s="511"/>
      <c r="L15" s="492">
        <f>SUM(L12:L14)</f>
        <v>0</v>
      </c>
      <c r="M15" s="101"/>
      <c r="N15" s="133"/>
    </row>
    <row r="16" spans="1:14" ht="15.6">
      <c r="A16" s="134"/>
      <c r="B16" s="135"/>
      <c r="C16" s="135"/>
      <c r="D16" s="135"/>
      <c r="E16" s="135"/>
      <c r="F16" s="136"/>
      <c r="G16" s="509"/>
      <c r="H16" s="138"/>
      <c r="I16" s="509"/>
      <c r="J16" s="138"/>
      <c r="K16" s="511"/>
      <c r="L16" s="491"/>
      <c r="M16" s="101"/>
      <c r="N16" s="133"/>
    </row>
    <row r="17" spans="1:14" ht="15.6">
      <c r="A17" s="134">
        <v>4</v>
      </c>
      <c r="B17" s="135" t="s">
        <v>197</v>
      </c>
      <c r="C17" s="135"/>
      <c r="D17" s="135"/>
      <c r="E17" s="135"/>
      <c r="F17" s="136">
        <v>9</v>
      </c>
      <c r="G17" s="509"/>
      <c r="H17" s="138">
        <f>'Pg 9 CPI'!$G$35</f>
        <v>0</v>
      </c>
      <c r="I17" s="512"/>
      <c r="J17" s="138">
        <f>'Pg 9 CPI'!$N$58</f>
        <v>0</v>
      </c>
      <c r="K17" s="514"/>
      <c r="L17" s="491">
        <f>H17+J17</f>
        <v>0</v>
      </c>
      <c r="M17" s="101"/>
      <c r="N17" s="133"/>
    </row>
    <row r="18" spans="1:14" ht="15.6">
      <c r="A18" s="134">
        <v>5</v>
      </c>
      <c r="B18" s="135"/>
      <c r="C18" s="135" t="s">
        <v>196</v>
      </c>
      <c r="D18" s="135"/>
      <c r="E18" s="135"/>
      <c r="F18" s="136"/>
      <c r="G18" s="512"/>
      <c r="H18" s="138">
        <f>H15+H17</f>
        <v>0</v>
      </c>
      <c r="I18" s="498"/>
      <c r="J18" s="138">
        <f>J15+J17</f>
        <v>0</v>
      </c>
      <c r="K18" s="499"/>
      <c r="L18" s="492">
        <f>L15+L17</f>
        <v>0</v>
      </c>
      <c r="M18" s="101"/>
      <c r="N18" s="133"/>
    </row>
    <row r="19" spans="1:14" ht="15.6">
      <c r="A19" s="134"/>
      <c r="B19" s="135"/>
      <c r="C19" s="135"/>
      <c r="D19" s="135"/>
      <c r="E19" s="135"/>
      <c r="F19" s="136"/>
      <c r="G19" s="512"/>
      <c r="H19" s="138"/>
      <c r="I19" s="512"/>
      <c r="J19" s="138"/>
      <c r="K19" s="514"/>
      <c r="L19" s="491"/>
      <c r="M19" s="101"/>
      <c r="N19" s="133"/>
    </row>
    <row r="20" spans="1:14" ht="15.6">
      <c r="A20" s="134">
        <v>6</v>
      </c>
      <c r="B20" s="135" t="str">
        <f>"Deduct: Retention - 10% of subtotal (R" &amp;'PROJECT INPUT DATA'!D17 &amp; " maximum)"</f>
        <v>Deduct: Retention - 10% of subtotal (R150000 maximum)</v>
      </c>
      <c r="C20" s="135"/>
      <c r="D20" s="135"/>
      <c r="E20" s="135"/>
      <c r="F20" s="136"/>
      <c r="G20" s="497">
        <f>'PROJECT INPUT DATA'!D17</f>
        <v>150000</v>
      </c>
      <c r="H20" s="508">
        <f>IF((H18*10%)&gt;G20,G20,(H18*10%))</f>
        <v>0</v>
      </c>
      <c r="I20" s="618"/>
      <c r="J20" s="508">
        <f>IF(((J18*10%)+(H18*10%))&gt;G20,(G20-H20),(J18*10%))</f>
        <v>0</v>
      </c>
      <c r="K20" s="496"/>
      <c r="L20" s="491">
        <f>(H20+J20)+L21+L22</f>
        <v>0</v>
      </c>
      <c r="M20" s="101"/>
      <c r="N20" s="133"/>
    </row>
    <row r="21" spans="1:14" ht="57" hidden="1" customHeight="1">
      <c r="A21" s="139"/>
      <c r="B21" s="1346" t="s">
        <v>473</v>
      </c>
      <c r="C21" s="1347"/>
      <c r="D21" s="1347"/>
      <c r="E21" s="1348"/>
      <c r="F21" s="619"/>
      <c r="G21" s="620"/>
      <c r="H21" s="624">
        <f>ROUND((H20*G21),2)</f>
        <v>0</v>
      </c>
      <c r="I21" s="625"/>
      <c r="J21" s="624">
        <f>ROUND((J20*G21),2)</f>
        <v>0</v>
      </c>
      <c r="K21" s="621"/>
      <c r="L21" s="622">
        <f>((H20+J20)*G21)*-1</f>
        <v>0</v>
      </c>
      <c r="M21" s="101"/>
      <c r="N21" s="133"/>
    </row>
    <row r="22" spans="1:14" ht="57" customHeight="1">
      <c r="A22" s="139"/>
      <c r="B22" s="1335" t="s">
        <v>572</v>
      </c>
      <c r="C22" s="1336"/>
      <c r="D22" s="1336"/>
      <c r="E22" s="1337"/>
      <c r="F22" s="619"/>
      <c r="G22" s="623">
        <v>0</v>
      </c>
      <c r="H22" s="624">
        <f>ROUND((H21*G22),2)</f>
        <v>0</v>
      </c>
      <c r="I22" s="625"/>
      <c r="J22" s="624">
        <f>ROUND((J21*G22),2)</f>
        <v>0</v>
      </c>
      <c r="K22" s="621"/>
      <c r="L22" s="622">
        <f>((H20+J20)*G22)*-1</f>
        <v>0</v>
      </c>
      <c r="M22" s="101"/>
      <c r="N22" s="133"/>
    </row>
    <row r="23" spans="1:14" ht="15.6">
      <c r="A23" s="139">
        <v>7</v>
      </c>
      <c r="B23" s="140" t="s">
        <v>198</v>
      </c>
      <c r="C23" s="140"/>
      <c r="D23" s="140"/>
      <c r="E23" s="140"/>
      <c r="F23" s="141">
        <v>8</v>
      </c>
      <c r="G23" s="513"/>
      <c r="H23" s="142">
        <f>'Pg 8 Penalties'!$L$32</f>
        <v>0</v>
      </c>
      <c r="I23" s="513"/>
      <c r="J23" s="142">
        <f>'Pg 8 Penalties'!$L$33</f>
        <v>0</v>
      </c>
      <c r="K23" s="496"/>
      <c r="L23" s="491">
        <f>H23+J23</f>
        <v>0</v>
      </c>
      <c r="M23" s="101"/>
      <c r="N23" s="133"/>
    </row>
    <row r="24" spans="1:14" ht="15.6">
      <c r="A24" s="134">
        <v>8</v>
      </c>
      <c r="B24" s="135"/>
      <c r="C24" s="135" t="s">
        <v>199</v>
      </c>
      <c r="D24" s="135"/>
      <c r="E24" s="135"/>
      <c r="F24" s="136"/>
      <c r="G24" s="509"/>
      <c r="H24" s="138">
        <f>H18-H20-H23+H21+H22</f>
        <v>0</v>
      </c>
      <c r="I24" s="509"/>
      <c r="J24" s="138">
        <f>J18-J20-J23+J21+J22</f>
        <v>0</v>
      </c>
      <c r="K24" s="514"/>
      <c r="L24" s="491">
        <f>L18-L20-L23</f>
        <v>0</v>
      </c>
      <c r="M24" s="101"/>
      <c r="N24" s="133"/>
    </row>
    <row r="25" spans="1:14" ht="15.6">
      <c r="A25" s="134"/>
      <c r="B25" s="135"/>
      <c r="C25" s="135"/>
      <c r="D25" s="135"/>
      <c r="E25" s="135"/>
      <c r="F25" s="136"/>
      <c r="G25" s="143"/>
      <c r="H25" s="144"/>
      <c r="I25" s="510"/>
      <c r="J25" s="144"/>
      <c r="K25" s="485"/>
      <c r="L25" s="493"/>
      <c r="M25" s="101"/>
      <c r="N25" s="133"/>
    </row>
    <row r="26" spans="1:14" ht="16.2" thickBot="1">
      <c r="A26" s="139">
        <v>9</v>
      </c>
      <c r="B26" s="140" t="s">
        <v>200</v>
      </c>
      <c r="C26" s="140"/>
      <c r="D26" s="140"/>
      <c r="E26" s="140"/>
      <c r="F26" s="141"/>
      <c r="G26" s="143"/>
      <c r="H26" s="581">
        <f>DATA!Q52</f>
        <v>0</v>
      </c>
      <c r="I26" s="143"/>
      <c r="J26" s="581">
        <f>DATA!R52</f>
        <v>0</v>
      </c>
      <c r="K26" s="485"/>
      <c r="L26" s="494">
        <f>H26+J26</f>
        <v>0</v>
      </c>
      <c r="M26" s="101"/>
      <c r="N26" s="133"/>
    </row>
    <row r="27" spans="1:14" ht="15.6">
      <c r="A27" s="501">
        <v>10</v>
      </c>
      <c r="B27" s="502"/>
      <c r="C27" s="502" t="s">
        <v>201</v>
      </c>
      <c r="D27" s="502"/>
      <c r="E27" s="502"/>
      <c r="F27" s="503"/>
      <c r="G27" s="145"/>
      <c r="H27" s="146">
        <f>ROUND((H24-H26),2)</f>
        <v>0</v>
      </c>
      <c r="I27" s="145"/>
      <c r="J27" s="146">
        <f>ROUND((J24-J26),2)</f>
        <v>0</v>
      </c>
      <c r="K27" s="486"/>
      <c r="L27" s="490">
        <f>ROUND((L24-L26),2)</f>
        <v>0</v>
      </c>
      <c r="M27" s="101"/>
      <c r="N27" s="133"/>
    </row>
    <row r="28" spans="1:14" ht="17.25" customHeight="1" thickBot="1">
      <c r="A28" s="139">
        <v>11</v>
      </c>
      <c r="B28" s="140" t="str">
        <f>"Add:  V.A.T. (" &amp; 'PROJECT INPUT DATA'!D9*100 &amp; "%)"</f>
        <v>Add:  V.A.T. (15%)</v>
      </c>
      <c r="C28" s="140"/>
      <c r="D28" s="140"/>
      <c r="E28" s="140"/>
      <c r="F28" s="141"/>
      <c r="G28" s="143"/>
      <c r="H28" s="144">
        <f>ROUND((H27*'PROJECT INPUT DATA'!D9/100),2)</f>
        <v>0</v>
      </c>
      <c r="I28" s="143"/>
      <c r="J28" s="144">
        <f>ROUND((J27*'PROJECT INPUT DATA'!D9/100),2)</f>
        <v>0</v>
      </c>
      <c r="K28" s="485"/>
      <c r="L28" s="495">
        <f>ROUND((L27*DATA!$C$1032),2)</f>
        <v>0</v>
      </c>
      <c r="M28" s="101"/>
      <c r="N28" s="133"/>
    </row>
    <row r="29" spans="1:14" ht="24" customHeight="1" thickBot="1">
      <c r="A29" s="147">
        <v>12</v>
      </c>
      <c r="B29" s="148" t="s">
        <v>202</v>
      </c>
      <c r="C29" s="149"/>
      <c r="D29" s="149"/>
      <c r="E29" s="149"/>
      <c r="F29" s="150"/>
      <c r="G29" s="151"/>
      <c r="H29" s="504">
        <f>H27+H28</f>
        <v>0</v>
      </c>
      <c r="I29" s="505"/>
      <c r="J29" s="504">
        <f>J27+J28</f>
        <v>0</v>
      </c>
      <c r="K29" s="506"/>
      <c r="L29" s="507">
        <f>L27+L28</f>
        <v>0</v>
      </c>
      <c r="M29" s="101"/>
      <c r="N29" s="133"/>
    </row>
    <row r="30" spans="1:14" ht="16.5" customHeight="1">
      <c r="A30" s="152"/>
      <c r="B30" s="153"/>
      <c r="C30" s="153"/>
      <c r="D30" s="153"/>
      <c r="E30" s="153"/>
      <c r="F30" s="153"/>
      <c r="G30" s="153"/>
      <c r="H30" s="153"/>
      <c r="I30" s="153"/>
      <c r="J30" s="153"/>
      <c r="K30" s="153"/>
      <c r="L30" s="154"/>
      <c r="M30" s="101"/>
      <c r="N30" s="155"/>
    </row>
    <row r="31" spans="1:14" ht="16.5" customHeight="1">
      <c r="A31" s="152"/>
      <c r="B31" s="153"/>
      <c r="C31" s="153"/>
      <c r="D31" s="153"/>
      <c r="E31" s="153"/>
      <c r="F31" s="153"/>
      <c r="G31" s="153"/>
      <c r="H31" s="153"/>
      <c r="I31" s="153"/>
      <c r="J31" s="153"/>
      <c r="K31" s="153"/>
      <c r="L31" s="154"/>
    </row>
    <row r="32" spans="1:14" ht="16.5" customHeight="1">
      <c r="A32" s="152"/>
      <c r="B32" s="153"/>
      <c r="C32" s="153"/>
      <c r="D32" s="153"/>
      <c r="E32" s="153"/>
      <c r="F32" s="153"/>
      <c r="G32" s="156"/>
      <c r="H32" s="156"/>
      <c r="I32" s="156"/>
      <c r="J32" s="156"/>
      <c r="K32" s="156"/>
      <c r="L32" s="157"/>
    </row>
    <row r="33" spans="1:12">
      <c r="A33" s="152"/>
      <c r="B33" s="153"/>
      <c r="C33" s="153"/>
      <c r="D33" s="153"/>
      <c r="E33" s="153"/>
      <c r="F33" s="153"/>
      <c r="G33" s="153"/>
      <c r="H33" s="153"/>
      <c r="I33" s="153"/>
      <c r="J33" s="153"/>
      <c r="K33" s="153"/>
      <c r="L33" s="154"/>
    </row>
    <row r="34" spans="1:12">
      <c r="A34" s="152"/>
      <c r="B34" s="153"/>
      <c r="C34" s="153"/>
      <c r="D34" s="153"/>
      <c r="E34" s="153"/>
      <c r="F34" s="153"/>
      <c r="G34" s="153"/>
      <c r="H34" s="153"/>
      <c r="I34" s="153"/>
      <c r="J34" s="153"/>
      <c r="K34" s="153"/>
      <c r="L34" s="154"/>
    </row>
    <row r="35" spans="1:12">
      <c r="A35" s="152"/>
      <c r="B35" s="153"/>
      <c r="C35" s="153"/>
      <c r="D35" s="153"/>
      <c r="E35" s="153"/>
      <c r="F35" s="153"/>
      <c r="G35" s="153"/>
      <c r="H35" s="153"/>
      <c r="I35" s="153"/>
      <c r="J35" s="153"/>
      <c r="K35" s="153"/>
      <c r="L35" s="154"/>
    </row>
    <row r="36" spans="1:12">
      <c r="A36" s="152"/>
      <c r="B36" s="153"/>
      <c r="C36" s="153"/>
      <c r="D36" s="153"/>
      <c r="E36" s="153"/>
      <c r="F36" s="153"/>
      <c r="G36" s="153"/>
      <c r="H36" s="153"/>
      <c r="I36" s="153"/>
      <c r="J36" s="153"/>
      <c r="K36" s="153"/>
      <c r="L36" s="154"/>
    </row>
    <row r="37" spans="1:12">
      <c r="A37" s="158"/>
      <c r="B37" s="159"/>
      <c r="C37" s="159"/>
      <c r="D37" s="159"/>
      <c r="E37" s="153"/>
      <c r="F37" s="153"/>
      <c r="G37" s="153"/>
      <c r="H37" s="153"/>
      <c r="I37" s="153"/>
      <c r="J37" s="153"/>
      <c r="K37" s="153"/>
      <c r="L37" s="154"/>
    </row>
    <row r="38" spans="1:12">
      <c r="A38" s="152" t="s">
        <v>203</v>
      </c>
      <c r="B38" s="153"/>
      <c r="C38" s="500" t="s">
        <v>204</v>
      </c>
      <c r="E38" s="153"/>
      <c r="F38" s="153"/>
      <c r="G38" s="153"/>
      <c r="H38" s="153"/>
      <c r="I38" s="153"/>
      <c r="J38" s="153" t="s">
        <v>205</v>
      </c>
      <c r="K38" s="153"/>
      <c r="L38" s="154" t="s">
        <v>204</v>
      </c>
    </row>
    <row r="39" spans="1:12" ht="15.6" thickBot="1">
      <c r="A39" s="160"/>
      <c r="B39" s="161"/>
      <c r="C39" s="161"/>
      <c r="D39" s="161"/>
      <c r="E39" s="161"/>
      <c r="F39" s="161"/>
      <c r="G39" s="161"/>
      <c r="H39" s="161"/>
      <c r="I39" s="161"/>
      <c r="J39" s="161"/>
      <c r="K39" s="161"/>
      <c r="L39" s="162"/>
    </row>
  </sheetData>
  <sheetProtection algorithmName="SHA-512" hashValue="8/LHbtcxTyHw87Oonq+T1dKURWPMx05WzJlUCwxiZjP9YOuT0AEkTg2WxR5h63IBkO5jRpCYcdjQ2x49qWZhhg==" saltValue="yrrBklvonfpYiWhaMfCUfg==" spinCount="100000" sheet="1" objects="1" scenarios="1"/>
  <mergeCells count="6">
    <mergeCell ref="B22:E22"/>
    <mergeCell ref="C3:D3"/>
    <mergeCell ref="F3:G3"/>
    <mergeCell ref="K3:L3"/>
    <mergeCell ref="A6:L6"/>
    <mergeCell ref="B21:E21"/>
  </mergeCells>
  <pageMargins left="0.39" right="0.25" top="0.51181102362204722" bottom="0.51181102362204722" header="0.51181102362204722" footer="0.51181102362204722"/>
  <pageSetup paperSize="9" scale="77" orientation="landscape" blackAndWhite="1" r:id="rId1"/>
  <headerFooter alignWithMargins="0">
    <oddHeader>&amp;L&amp;"Calibri"&amp;10&amp;K000000 Sensitivity - General&amp;1#_x000D_</oddHead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8">
    <tabColor rgb="FF0070C0"/>
    <pageSetUpPr fitToPage="1"/>
  </sheetPr>
  <dimension ref="A1:K27"/>
  <sheetViews>
    <sheetView zoomScaleNormal="100" zoomScaleSheetLayoutView="75" workbookViewId="0">
      <selection sqref="A1:E1"/>
    </sheetView>
  </sheetViews>
  <sheetFormatPr defaultRowHeight="13.2"/>
  <cols>
    <col min="1" max="1" width="8.44140625" style="10" customWidth="1"/>
    <col min="2" max="2" width="11" style="10" customWidth="1"/>
    <col min="3" max="3" width="35.5546875" style="10" customWidth="1"/>
    <col min="4" max="4" width="7.33203125" style="10" customWidth="1"/>
    <col min="5" max="8" width="14.109375" style="10" customWidth="1"/>
    <col min="9" max="9" width="14.109375" style="218" customWidth="1"/>
    <col min="10" max="10" width="15.44140625" style="10" bestFit="1" customWidth="1"/>
    <col min="11" max="11" width="4.33203125" style="10" customWidth="1"/>
    <col min="12" max="256" width="9.109375" style="10"/>
    <col min="257" max="257" width="8.44140625" style="10" customWidth="1"/>
    <col min="258" max="258" width="11" style="10" customWidth="1"/>
    <col min="259" max="259" width="35.5546875" style="10" customWidth="1"/>
    <col min="260" max="260" width="7.33203125" style="10" customWidth="1"/>
    <col min="261" max="261" width="13.33203125" style="10" bestFit="1" customWidth="1"/>
    <col min="262" max="265" width="13.33203125" style="10" customWidth="1"/>
    <col min="266" max="266" width="15.44140625" style="10" bestFit="1" customWidth="1"/>
    <col min="267" max="267" width="4.33203125" style="10" customWidth="1"/>
    <col min="268" max="512" width="9.109375" style="10"/>
    <col min="513" max="513" width="8.44140625" style="10" customWidth="1"/>
    <col min="514" max="514" width="11" style="10" customWidth="1"/>
    <col min="515" max="515" width="35.5546875" style="10" customWidth="1"/>
    <col min="516" max="516" width="7.33203125" style="10" customWidth="1"/>
    <col min="517" max="517" width="13.33203125" style="10" bestFit="1" customWidth="1"/>
    <col min="518" max="521" width="13.33203125" style="10" customWidth="1"/>
    <col min="522" max="522" width="15.44140625" style="10" bestFit="1" customWidth="1"/>
    <col min="523" max="523" width="4.33203125" style="10" customWidth="1"/>
    <col min="524" max="768" width="9.109375" style="10"/>
    <col min="769" max="769" width="8.44140625" style="10" customWidth="1"/>
    <col min="770" max="770" width="11" style="10" customWidth="1"/>
    <col min="771" max="771" width="35.5546875" style="10" customWidth="1"/>
    <col min="772" max="772" width="7.33203125" style="10" customWidth="1"/>
    <col min="773" max="773" width="13.33203125" style="10" bestFit="1" customWidth="1"/>
    <col min="774" max="777" width="13.33203125" style="10" customWidth="1"/>
    <col min="778" max="778" width="15.44140625" style="10" bestFit="1" customWidth="1"/>
    <col min="779" max="779" width="4.33203125" style="10" customWidth="1"/>
    <col min="780" max="1024" width="9.109375" style="10"/>
    <col min="1025" max="1025" width="8.44140625" style="10" customWidth="1"/>
    <col min="1026" max="1026" width="11" style="10" customWidth="1"/>
    <col min="1027" max="1027" width="35.5546875" style="10" customWidth="1"/>
    <col min="1028" max="1028" width="7.33203125" style="10" customWidth="1"/>
    <col min="1029" max="1029" width="13.33203125" style="10" bestFit="1" customWidth="1"/>
    <col min="1030" max="1033" width="13.33203125" style="10" customWidth="1"/>
    <col min="1034" max="1034" width="15.44140625" style="10" bestFit="1" customWidth="1"/>
    <col min="1035" max="1035" width="4.33203125" style="10" customWidth="1"/>
    <col min="1036" max="1280" width="9.109375" style="10"/>
    <col min="1281" max="1281" width="8.44140625" style="10" customWidth="1"/>
    <col min="1282" max="1282" width="11" style="10" customWidth="1"/>
    <col min="1283" max="1283" width="35.5546875" style="10" customWidth="1"/>
    <col min="1284" max="1284" width="7.33203125" style="10" customWidth="1"/>
    <col min="1285" max="1285" width="13.33203125" style="10" bestFit="1" customWidth="1"/>
    <col min="1286" max="1289" width="13.33203125" style="10" customWidth="1"/>
    <col min="1290" max="1290" width="15.44140625" style="10" bestFit="1" customWidth="1"/>
    <col min="1291" max="1291" width="4.33203125" style="10" customWidth="1"/>
    <col min="1292" max="1536" width="9.109375" style="10"/>
    <col min="1537" max="1537" width="8.44140625" style="10" customWidth="1"/>
    <col min="1538" max="1538" width="11" style="10" customWidth="1"/>
    <col min="1539" max="1539" width="35.5546875" style="10" customWidth="1"/>
    <col min="1540" max="1540" width="7.33203125" style="10" customWidth="1"/>
    <col min="1541" max="1541" width="13.33203125" style="10" bestFit="1" customWidth="1"/>
    <col min="1542" max="1545" width="13.33203125" style="10" customWidth="1"/>
    <col min="1546" max="1546" width="15.44140625" style="10" bestFit="1" customWidth="1"/>
    <col min="1547" max="1547" width="4.33203125" style="10" customWidth="1"/>
    <col min="1548" max="1792" width="9.109375" style="10"/>
    <col min="1793" max="1793" width="8.44140625" style="10" customWidth="1"/>
    <col min="1794" max="1794" width="11" style="10" customWidth="1"/>
    <col min="1795" max="1795" width="35.5546875" style="10" customWidth="1"/>
    <col min="1796" max="1796" width="7.33203125" style="10" customWidth="1"/>
    <col min="1797" max="1797" width="13.33203125" style="10" bestFit="1" customWidth="1"/>
    <col min="1798" max="1801" width="13.33203125" style="10" customWidth="1"/>
    <col min="1802" max="1802" width="15.44140625" style="10" bestFit="1" customWidth="1"/>
    <col min="1803" max="1803" width="4.33203125" style="10" customWidth="1"/>
    <col min="1804" max="2048" width="9.109375" style="10"/>
    <col min="2049" max="2049" width="8.44140625" style="10" customWidth="1"/>
    <col min="2050" max="2050" width="11" style="10" customWidth="1"/>
    <col min="2051" max="2051" width="35.5546875" style="10" customWidth="1"/>
    <col min="2052" max="2052" width="7.33203125" style="10" customWidth="1"/>
    <col min="2053" max="2053" width="13.33203125" style="10" bestFit="1" customWidth="1"/>
    <col min="2054" max="2057" width="13.33203125" style="10" customWidth="1"/>
    <col min="2058" max="2058" width="15.44140625" style="10" bestFit="1" customWidth="1"/>
    <col min="2059" max="2059" width="4.33203125" style="10" customWidth="1"/>
    <col min="2060" max="2304" width="9.109375" style="10"/>
    <col min="2305" max="2305" width="8.44140625" style="10" customWidth="1"/>
    <col min="2306" max="2306" width="11" style="10" customWidth="1"/>
    <col min="2307" max="2307" width="35.5546875" style="10" customWidth="1"/>
    <col min="2308" max="2308" width="7.33203125" style="10" customWidth="1"/>
    <col min="2309" max="2309" width="13.33203125" style="10" bestFit="1" customWidth="1"/>
    <col min="2310" max="2313" width="13.33203125" style="10" customWidth="1"/>
    <col min="2314" max="2314" width="15.44140625" style="10" bestFit="1" customWidth="1"/>
    <col min="2315" max="2315" width="4.33203125" style="10" customWidth="1"/>
    <col min="2316" max="2560" width="9.109375" style="10"/>
    <col min="2561" max="2561" width="8.44140625" style="10" customWidth="1"/>
    <col min="2562" max="2562" width="11" style="10" customWidth="1"/>
    <col min="2563" max="2563" width="35.5546875" style="10" customWidth="1"/>
    <col min="2564" max="2564" width="7.33203125" style="10" customWidth="1"/>
    <col min="2565" max="2565" width="13.33203125" style="10" bestFit="1" customWidth="1"/>
    <col min="2566" max="2569" width="13.33203125" style="10" customWidth="1"/>
    <col min="2570" max="2570" width="15.44140625" style="10" bestFit="1" customWidth="1"/>
    <col min="2571" max="2571" width="4.33203125" style="10" customWidth="1"/>
    <col min="2572" max="2816" width="9.109375" style="10"/>
    <col min="2817" max="2817" width="8.44140625" style="10" customWidth="1"/>
    <col min="2818" max="2818" width="11" style="10" customWidth="1"/>
    <col min="2819" max="2819" width="35.5546875" style="10" customWidth="1"/>
    <col min="2820" max="2820" width="7.33203125" style="10" customWidth="1"/>
    <col min="2821" max="2821" width="13.33203125" style="10" bestFit="1" customWidth="1"/>
    <col min="2822" max="2825" width="13.33203125" style="10" customWidth="1"/>
    <col min="2826" max="2826" width="15.44140625" style="10" bestFit="1" customWidth="1"/>
    <col min="2827" max="2827" width="4.33203125" style="10" customWidth="1"/>
    <col min="2828" max="3072" width="9.109375" style="10"/>
    <col min="3073" max="3073" width="8.44140625" style="10" customWidth="1"/>
    <col min="3074" max="3074" width="11" style="10" customWidth="1"/>
    <col min="3075" max="3075" width="35.5546875" style="10" customWidth="1"/>
    <col min="3076" max="3076" width="7.33203125" style="10" customWidth="1"/>
    <col min="3077" max="3077" width="13.33203125" style="10" bestFit="1" customWidth="1"/>
    <col min="3078" max="3081" width="13.33203125" style="10" customWidth="1"/>
    <col min="3082" max="3082" width="15.44140625" style="10" bestFit="1" customWidth="1"/>
    <col min="3083" max="3083" width="4.33203125" style="10" customWidth="1"/>
    <col min="3084" max="3328" width="9.109375" style="10"/>
    <col min="3329" max="3329" width="8.44140625" style="10" customWidth="1"/>
    <col min="3330" max="3330" width="11" style="10" customWidth="1"/>
    <col min="3331" max="3331" width="35.5546875" style="10" customWidth="1"/>
    <col min="3332" max="3332" width="7.33203125" style="10" customWidth="1"/>
    <col min="3333" max="3333" width="13.33203125" style="10" bestFit="1" customWidth="1"/>
    <col min="3334" max="3337" width="13.33203125" style="10" customWidth="1"/>
    <col min="3338" max="3338" width="15.44140625" style="10" bestFit="1" customWidth="1"/>
    <col min="3339" max="3339" width="4.33203125" style="10" customWidth="1"/>
    <col min="3340" max="3584" width="9.109375" style="10"/>
    <col min="3585" max="3585" width="8.44140625" style="10" customWidth="1"/>
    <col min="3586" max="3586" width="11" style="10" customWidth="1"/>
    <col min="3587" max="3587" width="35.5546875" style="10" customWidth="1"/>
    <col min="3588" max="3588" width="7.33203125" style="10" customWidth="1"/>
    <col min="3589" max="3589" width="13.33203125" style="10" bestFit="1" customWidth="1"/>
    <col min="3590" max="3593" width="13.33203125" style="10" customWidth="1"/>
    <col min="3594" max="3594" width="15.44140625" style="10" bestFit="1" customWidth="1"/>
    <col min="3595" max="3595" width="4.33203125" style="10" customWidth="1"/>
    <col min="3596" max="3840" width="9.109375" style="10"/>
    <col min="3841" max="3841" width="8.44140625" style="10" customWidth="1"/>
    <col min="3842" max="3842" width="11" style="10" customWidth="1"/>
    <col min="3843" max="3843" width="35.5546875" style="10" customWidth="1"/>
    <col min="3844" max="3844" width="7.33203125" style="10" customWidth="1"/>
    <col min="3845" max="3845" width="13.33203125" style="10" bestFit="1" customWidth="1"/>
    <col min="3846" max="3849" width="13.33203125" style="10" customWidth="1"/>
    <col min="3850" max="3850" width="15.44140625" style="10" bestFit="1" customWidth="1"/>
    <col min="3851" max="3851" width="4.33203125" style="10" customWidth="1"/>
    <col min="3852" max="4096" width="9.109375" style="10"/>
    <col min="4097" max="4097" width="8.44140625" style="10" customWidth="1"/>
    <col min="4098" max="4098" width="11" style="10" customWidth="1"/>
    <col min="4099" max="4099" width="35.5546875" style="10" customWidth="1"/>
    <col min="4100" max="4100" width="7.33203125" style="10" customWidth="1"/>
    <col min="4101" max="4101" width="13.33203125" style="10" bestFit="1" customWidth="1"/>
    <col min="4102" max="4105" width="13.33203125" style="10" customWidth="1"/>
    <col min="4106" max="4106" width="15.44140625" style="10" bestFit="1" customWidth="1"/>
    <col min="4107" max="4107" width="4.33203125" style="10" customWidth="1"/>
    <col min="4108" max="4352" width="9.109375" style="10"/>
    <col min="4353" max="4353" width="8.44140625" style="10" customWidth="1"/>
    <col min="4354" max="4354" width="11" style="10" customWidth="1"/>
    <col min="4355" max="4355" width="35.5546875" style="10" customWidth="1"/>
    <col min="4356" max="4356" width="7.33203125" style="10" customWidth="1"/>
    <col min="4357" max="4357" width="13.33203125" style="10" bestFit="1" customWidth="1"/>
    <col min="4358" max="4361" width="13.33203125" style="10" customWidth="1"/>
    <col min="4362" max="4362" width="15.44140625" style="10" bestFit="1" customWidth="1"/>
    <col min="4363" max="4363" width="4.33203125" style="10" customWidth="1"/>
    <col min="4364" max="4608" width="9.109375" style="10"/>
    <col min="4609" max="4609" width="8.44140625" style="10" customWidth="1"/>
    <col min="4610" max="4610" width="11" style="10" customWidth="1"/>
    <col min="4611" max="4611" width="35.5546875" style="10" customWidth="1"/>
    <col min="4612" max="4612" width="7.33203125" style="10" customWidth="1"/>
    <col min="4613" max="4613" width="13.33203125" style="10" bestFit="1" customWidth="1"/>
    <col min="4614" max="4617" width="13.33203125" style="10" customWidth="1"/>
    <col min="4618" max="4618" width="15.44140625" style="10" bestFit="1" customWidth="1"/>
    <col min="4619" max="4619" width="4.33203125" style="10" customWidth="1"/>
    <col min="4620" max="4864" width="9.109375" style="10"/>
    <col min="4865" max="4865" width="8.44140625" style="10" customWidth="1"/>
    <col min="4866" max="4866" width="11" style="10" customWidth="1"/>
    <col min="4867" max="4867" width="35.5546875" style="10" customWidth="1"/>
    <col min="4868" max="4868" width="7.33203125" style="10" customWidth="1"/>
    <col min="4869" max="4869" width="13.33203125" style="10" bestFit="1" customWidth="1"/>
    <col min="4870" max="4873" width="13.33203125" style="10" customWidth="1"/>
    <col min="4874" max="4874" width="15.44140625" style="10" bestFit="1" customWidth="1"/>
    <col min="4875" max="4875" width="4.33203125" style="10" customWidth="1"/>
    <col min="4876" max="5120" width="9.109375" style="10"/>
    <col min="5121" max="5121" width="8.44140625" style="10" customWidth="1"/>
    <col min="5122" max="5122" width="11" style="10" customWidth="1"/>
    <col min="5123" max="5123" width="35.5546875" style="10" customWidth="1"/>
    <col min="5124" max="5124" width="7.33203125" style="10" customWidth="1"/>
    <col min="5125" max="5125" width="13.33203125" style="10" bestFit="1" customWidth="1"/>
    <col min="5126" max="5129" width="13.33203125" style="10" customWidth="1"/>
    <col min="5130" max="5130" width="15.44140625" style="10" bestFit="1" customWidth="1"/>
    <col min="5131" max="5131" width="4.33203125" style="10" customWidth="1"/>
    <col min="5132" max="5376" width="9.109375" style="10"/>
    <col min="5377" max="5377" width="8.44140625" style="10" customWidth="1"/>
    <col min="5378" max="5378" width="11" style="10" customWidth="1"/>
    <col min="5379" max="5379" width="35.5546875" style="10" customWidth="1"/>
    <col min="5380" max="5380" width="7.33203125" style="10" customWidth="1"/>
    <col min="5381" max="5381" width="13.33203125" style="10" bestFit="1" customWidth="1"/>
    <col min="5382" max="5385" width="13.33203125" style="10" customWidth="1"/>
    <col min="5386" max="5386" width="15.44140625" style="10" bestFit="1" customWidth="1"/>
    <col min="5387" max="5387" width="4.33203125" style="10" customWidth="1"/>
    <col min="5388" max="5632" width="9.109375" style="10"/>
    <col min="5633" max="5633" width="8.44140625" style="10" customWidth="1"/>
    <col min="5634" max="5634" width="11" style="10" customWidth="1"/>
    <col min="5635" max="5635" width="35.5546875" style="10" customWidth="1"/>
    <col min="5636" max="5636" width="7.33203125" style="10" customWidth="1"/>
    <col min="5637" max="5637" width="13.33203125" style="10" bestFit="1" customWidth="1"/>
    <col min="5638" max="5641" width="13.33203125" style="10" customWidth="1"/>
    <col min="5642" max="5642" width="15.44140625" style="10" bestFit="1" customWidth="1"/>
    <col min="5643" max="5643" width="4.33203125" style="10" customWidth="1"/>
    <col min="5644" max="5888" width="9.109375" style="10"/>
    <col min="5889" max="5889" width="8.44140625" style="10" customWidth="1"/>
    <col min="5890" max="5890" width="11" style="10" customWidth="1"/>
    <col min="5891" max="5891" width="35.5546875" style="10" customWidth="1"/>
    <col min="5892" max="5892" width="7.33203125" style="10" customWidth="1"/>
    <col min="5893" max="5893" width="13.33203125" style="10" bestFit="1" customWidth="1"/>
    <col min="5894" max="5897" width="13.33203125" style="10" customWidth="1"/>
    <col min="5898" max="5898" width="15.44140625" style="10" bestFit="1" customWidth="1"/>
    <col min="5899" max="5899" width="4.33203125" style="10" customWidth="1"/>
    <col min="5900" max="6144" width="9.109375" style="10"/>
    <col min="6145" max="6145" width="8.44140625" style="10" customWidth="1"/>
    <col min="6146" max="6146" width="11" style="10" customWidth="1"/>
    <col min="6147" max="6147" width="35.5546875" style="10" customWidth="1"/>
    <col min="6148" max="6148" width="7.33203125" style="10" customWidth="1"/>
    <col min="6149" max="6149" width="13.33203125" style="10" bestFit="1" customWidth="1"/>
    <col min="6150" max="6153" width="13.33203125" style="10" customWidth="1"/>
    <col min="6154" max="6154" width="15.44140625" style="10" bestFit="1" customWidth="1"/>
    <col min="6155" max="6155" width="4.33203125" style="10" customWidth="1"/>
    <col min="6156" max="6400" width="9.109375" style="10"/>
    <col min="6401" max="6401" width="8.44140625" style="10" customWidth="1"/>
    <col min="6402" max="6402" width="11" style="10" customWidth="1"/>
    <col min="6403" max="6403" width="35.5546875" style="10" customWidth="1"/>
    <col min="6404" max="6404" width="7.33203125" style="10" customWidth="1"/>
    <col min="6405" max="6405" width="13.33203125" style="10" bestFit="1" customWidth="1"/>
    <col min="6406" max="6409" width="13.33203125" style="10" customWidth="1"/>
    <col min="6410" max="6410" width="15.44140625" style="10" bestFit="1" customWidth="1"/>
    <col min="6411" max="6411" width="4.33203125" style="10" customWidth="1"/>
    <col min="6412" max="6656" width="9.109375" style="10"/>
    <col min="6657" max="6657" width="8.44140625" style="10" customWidth="1"/>
    <col min="6658" max="6658" width="11" style="10" customWidth="1"/>
    <col min="6659" max="6659" width="35.5546875" style="10" customWidth="1"/>
    <col min="6660" max="6660" width="7.33203125" style="10" customWidth="1"/>
    <col min="6661" max="6661" width="13.33203125" style="10" bestFit="1" customWidth="1"/>
    <col min="6662" max="6665" width="13.33203125" style="10" customWidth="1"/>
    <col min="6666" max="6666" width="15.44140625" style="10" bestFit="1" customWidth="1"/>
    <col min="6667" max="6667" width="4.33203125" style="10" customWidth="1"/>
    <col min="6668" max="6912" width="9.109375" style="10"/>
    <col min="6913" max="6913" width="8.44140625" style="10" customWidth="1"/>
    <col min="6914" max="6914" width="11" style="10" customWidth="1"/>
    <col min="6915" max="6915" width="35.5546875" style="10" customWidth="1"/>
    <col min="6916" max="6916" width="7.33203125" style="10" customWidth="1"/>
    <col min="6917" max="6917" width="13.33203125" style="10" bestFit="1" customWidth="1"/>
    <col min="6918" max="6921" width="13.33203125" style="10" customWidth="1"/>
    <col min="6922" max="6922" width="15.44140625" style="10" bestFit="1" customWidth="1"/>
    <col min="6923" max="6923" width="4.33203125" style="10" customWidth="1"/>
    <col min="6924" max="7168" width="9.109375" style="10"/>
    <col min="7169" max="7169" width="8.44140625" style="10" customWidth="1"/>
    <col min="7170" max="7170" width="11" style="10" customWidth="1"/>
    <col min="7171" max="7171" width="35.5546875" style="10" customWidth="1"/>
    <col min="7172" max="7172" width="7.33203125" style="10" customWidth="1"/>
    <col min="7173" max="7173" width="13.33203125" style="10" bestFit="1" customWidth="1"/>
    <col min="7174" max="7177" width="13.33203125" style="10" customWidth="1"/>
    <col min="7178" max="7178" width="15.44140625" style="10" bestFit="1" customWidth="1"/>
    <col min="7179" max="7179" width="4.33203125" style="10" customWidth="1"/>
    <col min="7180" max="7424" width="9.109375" style="10"/>
    <col min="7425" max="7425" width="8.44140625" style="10" customWidth="1"/>
    <col min="7426" max="7426" width="11" style="10" customWidth="1"/>
    <col min="7427" max="7427" width="35.5546875" style="10" customWidth="1"/>
    <col min="7428" max="7428" width="7.33203125" style="10" customWidth="1"/>
    <col min="7429" max="7429" width="13.33203125" style="10" bestFit="1" customWidth="1"/>
    <col min="7430" max="7433" width="13.33203125" style="10" customWidth="1"/>
    <col min="7434" max="7434" width="15.44140625" style="10" bestFit="1" customWidth="1"/>
    <col min="7435" max="7435" width="4.33203125" style="10" customWidth="1"/>
    <col min="7436" max="7680" width="9.109375" style="10"/>
    <col min="7681" max="7681" width="8.44140625" style="10" customWidth="1"/>
    <col min="7682" max="7682" width="11" style="10" customWidth="1"/>
    <col min="7683" max="7683" width="35.5546875" style="10" customWidth="1"/>
    <col min="7684" max="7684" width="7.33203125" style="10" customWidth="1"/>
    <col min="7685" max="7685" width="13.33203125" style="10" bestFit="1" customWidth="1"/>
    <col min="7686" max="7689" width="13.33203125" style="10" customWidth="1"/>
    <col min="7690" max="7690" width="15.44140625" style="10" bestFit="1" customWidth="1"/>
    <col min="7691" max="7691" width="4.33203125" style="10" customWidth="1"/>
    <col min="7692" max="7936" width="9.109375" style="10"/>
    <col min="7937" max="7937" width="8.44140625" style="10" customWidth="1"/>
    <col min="7938" max="7938" width="11" style="10" customWidth="1"/>
    <col min="7939" max="7939" width="35.5546875" style="10" customWidth="1"/>
    <col min="7940" max="7940" width="7.33203125" style="10" customWidth="1"/>
    <col min="7941" max="7941" width="13.33203125" style="10" bestFit="1" customWidth="1"/>
    <col min="7942" max="7945" width="13.33203125" style="10" customWidth="1"/>
    <col min="7946" max="7946" width="15.44140625" style="10" bestFit="1" customWidth="1"/>
    <col min="7947" max="7947" width="4.33203125" style="10" customWidth="1"/>
    <col min="7948" max="8192" width="9.109375" style="10"/>
    <col min="8193" max="8193" width="8.44140625" style="10" customWidth="1"/>
    <col min="8194" max="8194" width="11" style="10" customWidth="1"/>
    <col min="8195" max="8195" width="35.5546875" style="10" customWidth="1"/>
    <col min="8196" max="8196" width="7.33203125" style="10" customWidth="1"/>
    <col min="8197" max="8197" width="13.33203125" style="10" bestFit="1" customWidth="1"/>
    <col min="8198" max="8201" width="13.33203125" style="10" customWidth="1"/>
    <col min="8202" max="8202" width="15.44140625" style="10" bestFit="1" customWidth="1"/>
    <col min="8203" max="8203" width="4.33203125" style="10" customWidth="1"/>
    <col min="8204" max="8448" width="9.109375" style="10"/>
    <col min="8449" max="8449" width="8.44140625" style="10" customWidth="1"/>
    <col min="8450" max="8450" width="11" style="10" customWidth="1"/>
    <col min="8451" max="8451" width="35.5546875" style="10" customWidth="1"/>
    <col min="8452" max="8452" width="7.33203125" style="10" customWidth="1"/>
    <col min="8453" max="8453" width="13.33203125" style="10" bestFit="1" customWidth="1"/>
    <col min="8454" max="8457" width="13.33203125" style="10" customWidth="1"/>
    <col min="8458" max="8458" width="15.44140625" style="10" bestFit="1" customWidth="1"/>
    <col min="8459" max="8459" width="4.33203125" style="10" customWidth="1"/>
    <col min="8460" max="8704" width="9.109375" style="10"/>
    <col min="8705" max="8705" width="8.44140625" style="10" customWidth="1"/>
    <col min="8706" max="8706" width="11" style="10" customWidth="1"/>
    <col min="8707" max="8707" width="35.5546875" style="10" customWidth="1"/>
    <col min="8708" max="8708" width="7.33203125" style="10" customWidth="1"/>
    <col min="8709" max="8709" width="13.33203125" style="10" bestFit="1" customWidth="1"/>
    <col min="8710" max="8713" width="13.33203125" style="10" customWidth="1"/>
    <col min="8714" max="8714" width="15.44140625" style="10" bestFit="1" customWidth="1"/>
    <col min="8715" max="8715" width="4.33203125" style="10" customWidth="1"/>
    <col min="8716" max="8960" width="9.109375" style="10"/>
    <col min="8961" max="8961" width="8.44140625" style="10" customWidth="1"/>
    <col min="8962" max="8962" width="11" style="10" customWidth="1"/>
    <col min="8963" max="8963" width="35.5546875" style="10" customWidth="1"/>
    <col min="8964" max="8964" width="7.33203125" style="10" customWidth="1"/>
    <col min="8965" max="8965" width="13.33203125" style="10" bestFit="1" customWidth="1"/>
    <col min="8966" max="8969" width="13.33203125" style="10" customWidth="1"/>
    <col min="8970" max="8970" width="15.44140625" style="10" bestFit="1" customWidth="1"/>
    <col min="8971" max="8971" width="4.33203125" style="10" customWidth="1"/>
    <col min="8972" max="9216" width="9.109375" style="10"/>
    <col min="9217" max="9217" width="8.44140625" style="10" customWidth="1"/>
    <col min="9218" max="9218" width="11" style="10" customWidth="1"/>
    <col min="9219" max="9219" width="35.5546875" style="10" customWidth="1"/>
    <col min="9220" max="9220" width="7.33203125" style="10" customWidth="1"/>
    <col min="9221" max="9221" width="13.33203125" style="10" bestFit="1" customWidth="1"/>
    <col min="9222" max="9225" width="13.33203125" style="10" customWidth="1"/>
    <col min="9226" max="9226" width="15.44140625" style="10" bestFit="1" customWidth="1"/>
    <col min="9227" max="9227" width="4.33203125" style="10" customWidth="1"/>
    <col min="9228" max="9472" width="9.109375" style="10"/>
    <col min="9473" max="9473" width="8.44140625" style="10" customWidth="1"/>
    <col min="9474" max="9474" width="11" style="10" customWidth="1"/>
    <col min="9475" max="9475" width="35.5546875" style="10" customWidth="1"/>
    <col min="9476" max="9476" width="7.33203125" style="10" customWidth="1"/>
    <col min="9477" max="9477" width="13.33203125" style="10" bestFit="1" customWidth="1"/>
    <col min="9478" max="9481" width="13.33203125" style="10" customWidth="1"/>
    <col min="9482" max="9482" width="15.44140625" style="10" bestFit="1" customWidth="1"/>
    <col min="9483" max="9483" width="4.33203125" style="10" customWidth="1"/>
    <col min="9484" max="9728" width="9.109375" style="10"/>
    <col min="9729" max="9729" width="8.44140625" style="10" customWidth="1"/>
    <col min="9730" max="9730" width="11" style="10" customWidth="1"/>
    <col min="9731" max="9731" width="35.5546875" style="10" customWidth="1"/>
    <col min="9732" max="9732" width="7.33203125" style="10" customWidth="1"/>
    <col min="9733" max="9733" width="13.33203125" style="10" bestFit="1" customWidth="1"/>
    <col min="9734" max="9737" width="13.33203125" style="10" customWidth="1"/>
    <col min="9738" max="9738" width="15.44140625" style="10" bestFit="1" customWidth="1"/>
    <col min="9739" max="9739" width="4.33203125" style="10" customWidth="1"/>
    <col min="9740" max="9984" width="9.109375" style="10"/>
    <col min="9985" max="9985" width="8.44140625" style="10" customWidth="1"/>
    <col min="9986" max="9986" width="11" style="10" customWidth="1"/>
    <col min="9987" max="9987" width="35.5546875" style="10" customWidth="1"/>
    <col min="9988" max="9988" width="7.33203125" style="10" customWidth="1"/>
    <col min="9989" max="9989" width="13.33203125" style="10" bestFit="1" customWidth="1"/>
    <col min="9990" max="9993" width="13.33203125" style="10" customWidth="1"/>
    <col min="9994" max="9994" width="15.44140625" style="10" bestFit="1" customWidth="1"/>
    <col min="9995" max="9995" width="4.33203125" style="10" customWidth="1"/>
    <col min="9996" max="10240" width="9.109375" style="10"/>
    <col min="10241" max="10241" width="8.44140625" style="10" customWidth="1"/>
    <col min="10242" max="10242" width="11" style="10" customWidth="1"/>
    <col min="10243" max="10243" width="35.5546875" style="10" customWidth="1"/>
    <col min="10244" max="10244" width="7.33203125" style="10" customWidth="1"/>
    <col min="10245" max="10245" width="13.33203125" style="10" bestFit="1" customWidth="1"/>
    <col min="10246" max="10249" width="13.33203125" style="10" customWidth="1"/>
    <col min="10250" max="10250" width="15.44140625" style="10" bestFit="1" customWidth="1"/>
    <col min="10251" max="10251" width="4.33203125" style="10" customWidth="1"/>
    <col min="10252" max="10496" width="9.109375" style="10"/>
    <col min="10497" max="10497" width="8.44140625" style="10" customWidth="1"/>
    <col min="10498" max="10498" width="11" style="10" customWidth="1"/>
    <col min="10499" max="10499" width="35.5546875" style="10" customWidth="1"/>
    <col min="10500" max="10500" width="7.33203125" style="10" customWidth="1"/>
    <col min="10501" max="10501" width="13.33203125" style="10" bestFit="1" customWidth="1"/>
    <col min="10502" max="10505" width="13.33203125" style="10" customWidth="1"/>
    <col min="10506" max="10506" width="15.44140625" style="10" bestFit="1" customWidth="1"/>
    <col min="10507" max="10507" width="4.33203125" style="10" customWidth="1"/>
    <col min="10508" max="10752" width="9.109375" style="10"/>
    <col min="10753" max="10753" width="8.44140625" style="10" customWidth="1"/>
    <col min="10754" max="10754" width="11" style="10" customWidth="1"/>
    <col min="10755" max="10755" width="35.5546875" style="10" customWidth="1"/>
    <col min="10756" max="10756" width="7.33203125" style="10" customWidth="1"/>
    <col min="10757" max="10757" width="13.33203125" style="10" bestFit="1" customWidth="1"/>
    <col min="10758" max="10761" width="13.33203125" style="10" customWidth="1"/>
    <col min="10762" max="10762" width="15.44140625" style="10" bestFit="1" customWidth="1"/>
    <col min="10763" max="10763" width="4.33203125" style="10" customWidth="1"/>
    <col min="10764" max="11008" width="9.109375" style="10"/>
    <col min="11009" max="11009" width="8.44140625" style="10" customWidth="1"/>
    <col min="11010" max="11010" width="11" style="10" customWidth="1"/>
    <col min="11011" max="11011" width="35.5546875" style="10" customWidth="1"/>
    <col min="11012" max="11012" width="7.33203125" style="10" customWidth="1"/>
    <col min="11013" max="11013" width="13.33203125" style="10" bestFit="1" customWidth="1"/>
    <col min="11014" max="11017" width="13.33203125" style="10" customWidth="1"/>
    <col min="11018" max="11018" width="15.44140625" style="10" bestFit="1" customWidth="1"/>
    <col min="11019" max="11019" width="4.33203125" style="10" customWidth="1"/>
    <col min="11020" max="11264" width="9.109375" style="10"/>
    <col min="11265" max="11265" width="8.44140625" style="10" customWidth="1"/>
    <col min="11266" max="11266" width="11" style="10" customWidth="1"/>
    <col min="11267" max="11267" width="35.5546875" style="10" customWidth="1"/>
    <col min="11268" max="11268" width="7.33203125" style="10" customWidth="1"/>
    <col min="11269" max="11269" width="13.33203125" style="10" bestFit="1" customWidth="1"/>
    <col min="11270" max="11273" width="13.33203125" style="10" customWidth="1"/>
    <col min="11274" max="11274" width="15.44140625" style="10" bestFit="1" customWidth="1"/>
    <col min="11275" max="11275" width="4.33203125" style="10" customWidth="1"/>
    <col min="11276" max="11520" width="9.109375" style="10"/>
    <col min="11521" max="11521" width="8.44140625" style="10" customWidth="1"/>
    <col min="11522" max="11522" width="11" style="10" customWidth="1"/>
    <col min="11523" max="11523" width="35.5546875" style="10" customWidth="1"/>
    <col min="11524" max="11524" width="7.33203125" style="10" customWidth="1"/>
    <col min="11525" max="11525" width="13.33203125" style="10" bestFit="1" customWidth="1"/>
    <col min="11526" max="11529" width="13.33203125" style="10" customWidth="1"/>
    <col min="11530" max="11530" width="15.44140625" style="10" bestFit="1" customWidth="1"/>
    <col min="11531" max="11531" width="4.33203125" style="10" customWidth="1"/>
    <col min="11532" max="11776" width="9.109375" style="10"/>
    <col min="11777" max="11777" width="8.44140625" style="10" customWidth="1"/>
    <col min="11778" max="11778" width="11" style="10" customWidth="1"/>
    <col min="11779" max="11779" width="35.5546875" style="10" customWidth="1"/>
    <col min="11780" max="11780" width="7.33203125" style="10" customWidth="1"/>
    <col min="11781" max="11781" width="13.33203125" style="10" bestFit="1" customWidth="1"/>
    <col min="11782" max="11785" width="13.33203125" style="10" customWidth="1"/>
    <col min="11786" max="11786" width="15.44140625" style="10" bestFit="1" customWidth="1"/>
    <col min="11787" max="11787" width="4.33203125" style="10" customWidth="1"/>
    <col min="11788" max="12032" width="9.109375" style="10"/>
    <col min="12033" max="12033" width="8.44140625" style="10" customWidth="1"/>
    <col min="12034" max="12034" width="11" style="10" customWidth="1"/>
    <col min="12035" max="12035" width="35.5546875" style="10" customWidth="1"/>
    <col min="12036" max="12036" width="7.33203125" style="10" customWidth="1"/>
    <col min="12037" max="12037" width="13.33203125" style="10" bestFit="1" customWidth="1"/>
    <col min="12038" max="12041" width="13.33203125" style="10" customWidth="1"/>
    <col min="12042" max="12042" width="15.44140625" style="10" bestFit="1" customWidth="1"/>
    <col min="12043" max="12043" width="4.33203125" style="10" customWidth="1"/>
    <col min="12044" max="12288" width="9.109375" style="10"/>
    <col min="12289" max="12289" width="8.44140625" style="10" customWidth="1"/>
    <col min="12290" max="12290" width="11" style="10" customWidth="1"/>
    <col min="12291" max="12291" width="35.5546875" style="10" customWidth="1"/>
    <col min="12292" max="12292" width="7.33203125" style="10" customWidth="1"/>
    <col min="12293" max="12293" width="13.33203125" style="10" bestFit="1" customWidth="1"/>
    <col min="12294" max="12297" width="13.33203125" style="10" customWidth="1"/>
    <col min="12298" max="12298" width="15.44140625" style="10" bestFit="1" customWidth="1"/>
    <col min="12299" max="12299" width="4.33203125" style="10" customWidth="1"/>
    <col min="12300" max="12544" width="9.109375" style="10"/>
    <col min="12545" max="12545" width="8.44140625" style="10" customWidth="1"/>
    <col min="12546" max="12546" width="11" style="10" customWidth="1"/>
    <col min="12547" max="12547" width="35.5546875" style="10" customWidth="1"/>
    <col min="12548" max="12548" width="7.33203125" style="10" customWidth="1"/>
    <col min="12549" max="12549" width="13.33203125" style="10" bestFit="1" customWidth="1"/>
    <col min="12550" max="12553" width="13.33203125" style="10" customWidth="1"/>
    <col min="12554" max="12554" width="15.44140625" style="10" bestFit="1" customWidth="1"/>
    <col min="12555" max="12555" width="4.33203125" style="10" customWidth="1"/>
    <col min="12556" max="12800" width="9.109375" style="10"/>
    <col min="12801" max="12801" width="8.44140625" style="10" customWidth="1"/>
    <col min="12802" max="12802" width="11" style="10" customWidth="1"/>
    <col min="12803" max="12803" width="35.5546875" style="10" customWidth="1"/>
    <col min="12804" max="12804" width="7.33203125" style="10" customWidth="1"/>
    <col min="12805" max="12805" width="13.33203125" style="10" bestFit="1" customWidth="1"/>
    <col min="12806" max="12809" width="13.33203125" style="10" customWidth="1"/>
    <col min="12810" max="12810" width="15.44140625" style="10" bestFit="1" customWidth="1"/>
    <col min="12811" max="12811" width="4.33203125" style="10" customWidth="1"/>
    <col min="12812" max="13056" width="9.109375" style="10"/>
    <col min="13057" max="13057" width="8.44140625" style="10" customWidth="1"/>
    <col min="13058" max="13058" width="11" style="10" customWidth="1"/>
    <col min="13059" max="13059" width="35.5546875" style="10" customWidth="1"/>
    <col min="13060" max="13060" width="7.33203125" style="10" customWidth="1"/>
    <col min="13061" max="13061" width="13.33203125" style="10" bestFit="1" customWidth="1"/>
    <col min="13062" max="13065" width="13.33203125" style="10" customWidth="1"/>
    <col min="13066" max="13066" width="15.44140625" style="10" bestFit="1" customWidth="1"/>
    <col min="13067" max="13067" width="4.33203125" style="10" customWidth="1"/>
    <col min="13068" max="13312" width="9.109375" style="10"/>
    <col min="13313" max="13313" width="8.44140625" style="10" customWidth="1"/>
    <col min="13314" max="13314" width="11" style="10" customWidth="1"/>
    <col min="13315" max="13315" width="35.5546875" style="10" customWidth="1"/>
    <col min="13316" max="13316" width="7.33203125" style="10" customWidth="1"/>
    <col min="13317" max="13317" width="13.33203125" style="10" bestFit="1" customWidth="1"/>
    <col min="13318" max="13321" width="13.33203125" style="10" customWidth="1"/>
    <col min="13322" max="13322" width="15.44140625" style="10" bestFit="1" customWidth="1"/>
    <col min="13323" max="13323" width="4.33203125" style="10" customWidth="1"/>
    <col min="13324" max="13568" width="9.109375" style="10"/>
    <col min="13569" max="13569" width="8.44140625" style="10" customWidth="1"/>
    <col min="13570" max="13570" width="11" style="10" customWidth="1"/>
    <col min="13571" max="13571" width="35.5546875" style="10" customWidth="1"/>
    <col min="13572" max="13572" width="7.33203125" style="10" customWidth="1"/>
    <col min="13573" max="13573" width="13.33203125" style="10" bestFit="1" customWidth="1"/>
    <col min="13574" max="13577" width="13.33203125" style="10" customWidth="1"/>
    <col min="13578" max="13578" width="15.44140625" style="10" bestFit="1" customWidth="1"/>
    <col min="13579" max="13579" width="4.33203125" style="10" customWidth="1"/>
    <col min="13580" max="13824" width="9.109375" style="10"/>
    <col min="13825" max="13825" width="8.44140625" style="10" customWidth="1"/>
    <col min="13826" max="13826" width="11" style="10" customWidth="1"/>
    <col min="13827" max="13827" width="35.5546875" style="10" customWidth="1"/>
    <col min="13828" max="13828" width="7.33203125" style="10" customWidth="1"/>
    <col min="13829" max="13829" width="13.33203125" style="10" bestFit="1" customWidth="1"/>
    <col min="13830" max="13833" width="13.33203125" style="10" customWidth="1"/>
    <col min="13834" max="13834" width="15.44140625" style="10" bestFit="1" customWidth="1"/>
    <col min="13835" max="13835" width="4.33203125" style="10" customWidth="1"/>
    <col min="13836" max="14080" width="9.109375" style="10"/>
    <col min="14081" max="14081" width="8.44140625" style="10" customWidth="1"/>
    <col min="14082" max="14082" width="11" style="10" customWidth="1"/>
    <col min="14083" max="14083" width="35.5546875" style="10" customWidth="1"/>
    <col min="14084" max="14084" width="7.33203125" style="10" customWidth="1"/>
    <col min="14085" max="14085" width="13.33203125" style="10" bestFit="1" customWidth="1"/>
    <col min="14086" max="14089" width="13.33203125" style="10" customWidth="1"/>
    <col min="14090" max="14090" width="15.44140625" style="10" bestFit="1" customWidth="1"/>
    <col min="14091" max="14091" width="4.33203125" style="10" customWidth="1"/>
    <col min="14092" max="14336" width="9.109375" style="10"/>
    <col min="14337" max="14337" width="8.44140625" style="10" customWidth="1"/>
    <col min="14338" max="14338" width="11" style="10" customWidth="1"/>
    <col min="14339" max="14339" width="35.5546875" style="10" customWidth="1"/>
    <col min="14340" max="14340" width="7.33203125" style="10" customWidth="1"/>
    <col min="14341" max="14341" width="13.33203125" style="10" bestFit="1" customWidth="1"/>
    <col min="14342" max="14345" width="13.33203125" style="10" customWidth="1"/>
    <col min="14346" max="14346" width="15.44140625" style="10" bestFit="1" customWidth="1"/>
    <col min="14347" max="14347" width="4.33203125" style="10" customWidth="1"/>
    <col min="14348" max="14592" width="9.109375" style="10"/>
    <col min="14593" max="14593" width="8.44140625" style="10" customWidth="1"/>
    <col min="14594" max="14594" width="11" style="10" customWidth="1"/>
    <col min="14595" max="14595" width="35.5546875" style="10" customWidth="1"/>
    <col min="14596" max="14596" width="7.33203125" style="10" customWidth="1"/>
    <col min="14597" max="14597" width="13.33203125" style="10" bestFit="1" customWidth="1"/>
    <col min="14598" max="14601" width="13.33203125" style="10" customWidth="1"/>
    <col min="14602" max="14602" width="15.44140625" style="10" bestFit="1" customWidth="1"/>
    <col min="14603" max="14603" width="4.33203125" style="10" customWidth="1"/>
    <col min="14604" max="14848" width="9.109375" style="10"/>
    <col min="14849" max="14849" width="8.44140625" style="10" customWidth="1"/>
    <col min="14850" max="14850" width="11" style="10" customWidth="1"/>
    <col min="14851" max="14851" width="35.5546875" style="10" customWidth="1"/>
    <col min="14852" max="14852" width="7.33203125" style="10" customWidth="1"/>
    <col min="14853" max="14853" width="13.33203125" style="10" bestFit="1" customWidth="1"/>
    <col min="14854" max="14857" width="13.33203125" style="10" customWidth="1"/>
    <col min="14858" max="14858" width="15.44140625" style="10" bestFit="1" customWidth="1"/>
    <col min="14859" max="14859" width="4.33203125" style="10" customWidth="1"/>
    <col min="14860" max="15104" width="9.109375" style="10"/>
    <col min="15105" max="15105" width="8.44140625" style="10" customWidth="1"/>
    <col min="15106" max="15106" width="11" style="10" customWidth="1"/>
    <col min="15107" max="15107" width="35.5546875" style="10" customWidth="1"/>
    <col min="15108" max="15108" width="7.33203125" style="10" customWidth="1"/>
    <col min="15109" max="15109" width="13.33203125" style="10" bestFit="1" customWidth="1"/>
    <col min="15110" max="15113" width="13.33203125" style="10" customWidth="1"/>
    <col min="15114" max="15114" width="15.44140625" style="10" bestFit="1" customWidth="1"/>
    <col min="15115" max="15115" width="4.33203125" style="10" customWidth="1"/>
    <col min="15116" max="15360" width="9.109375" style="10"/>
    <col min="15361" max="15361" width="8.44140625" style="10" customWidth="1"/>
    <col min="15362" max="15362" width="11" style="10" customWidth="1"/>
    <col min="15363" max="15363" width="35.5546875" style="10" customWidth="1"/>
    <col min="15364" max="15364" width="7.33203125" style="10" customWidth="1"/>
    <col min="15365" max="15365" width="13.33203125" style="10" bestFit="1" customWidth="1"/>
    <col min="15366" max="15369" width="13.33203125" style="10" customWidth="1"/>
    <col min="15370" max="15370" width="15.44140625" style="10" bestFit="1" customWidth="1"/>
    <col min="15371" max="15371" width="4.33203125" style="10" customWidth="1"/>
    <col min="15372" max="15616" width="9.109375" style="10"/>
    <col min="15617" max="15617" width="8.44140625" style="10" customWidth="1"/>
    <col min="15618" max="15618" width="11" style="10" customWidth="1"/>
    <col min="15619" max="15619" width="35.5546875" style="10" customWidth="1"/>
    <col min="15620" max="15620" width="7.33203125" style="10" customWidth="1"/>
    <col min="15621" max="15621" width="13.33203125" style="10" bestFit="1" customWidth="1"/>
    <col min="15622" max="15625" width="13.33203125" style="10" customWidth="1"/>
    <col min="15626" max="15626" width="15.44140625" style="10" bestFit="1" customWidth="1"/>
    <col min="15627" max="15627" width="4.33203125" style="10" customWidth="1"/>
    <col min="15628" max="15872" width="9.109375" style="10"/>
    <col min="15873" max="15873" width="8.44140625" style="10" customWidth="1"/>
    <col min="15874" max="15874" width="11" style="10" customWidth="1"/>
    <col min="15875" max="15875" width="35.5546875" style="10" customWidth="1"/>
    <col min="15876" max="15876" width="7.33203125" style="10" customWidth="1"/>
    <col min="15877" max="15877" width="13.33203125" style="10" bestFit="1" customWidth="1"/>
    <col min="15878" max="15881" width="13.33203125" style="10" customWidth="1"/>
    <col min="15882" max="15882" width="15.44140625" style="10" bestFit="1" customWidth="1"/>
    <col min="15883" max="15883" width="4.33203125" style="10" customWidth="1"/>
    <col min="15884" max="16128" width="9.109375" style="10"/>
    <col min="16129" max="16129" width="8.44140625" style="10" customWidth="1"/>
    <col min="16130" max="16130" width="11" style="10" customWidth="1"/>
    <col min="16131" max="16131" width="35.5546875" style="10" customWidth="1"/>
    <col min="16132" max="16132" width="7.33203125" style="10" customWidth="1"/>
    <col min="16133" max="16133" width="13.33203125" style="10" bestFit="1" customWidth="1"/>
    <col min="16134" max="16137" width="13.33203125" style="10" customWidth="1"/>
    <col min="16138" max="16138" width="15.44140625" style="10" bestFit="1" customWidth="1"/>
    <col min="16139" max="16139" width="4.33203125" style="10" customWidth="1"/>
    <col min="16140" max="16384" width="9.109375" style="10"/>
  </cols>
  <sheetData>
    <row r="1" spans="1:11" ht="15.6">
      <c r="I1" s="163"/>
      <c r="J1" s="164" t="s">
        <v>206</v>
      </c>
    </row>
    <row r="2" spans="1:11" ht="8.25" customHeight="1">
      <c r="A2" s="1352"/>
      <c r="B2" s="1353"/>
      <c r="C2" s="1353"/>
      <c r="D2" s="1353"/>
      <c r="E2" s="1353"/>
      <c r="F2" s="1353"/>
      <c r="G2" s="1353"/>
      <c r="H2" s="1353"/>
      <c r="I2" s="1353"/>
      <c r="J2" s="1353"/>
    </row>
    <row r="3" spans="1:11" ht="15.75" customHeight="1">
      <c r="A3" s="1354" t="str">
        <f>'Pg 1 Payment'!C3</f>
        <v>X.002-180-2024/1RF</v>
      </c>
      <c r="B3" s="1355"/>
      <c r="C3" s="1355"/>
      <c r="D3" s="98"/>
      <c r="E3" s="583">
        <f>'F1  Cover'!L8</f>
        <v>46053</v>
      </c>
      <c r="F3" s="165"/>
      <c r="G3" s="1356" t="s">
        <v>207</v>
      </c>
      <c r="H3" s="1356"/>
      <c r="I3" s="1341">
        <f>'F1  Cover'!K8</f>
        <v>1</v>
      </c>
      <c r="J3" s="1357"/>
    </row>
    <row r="4" spans="1:11" ht="15.75" customHeight="1" thickBot="1">
      <c r="A4" s="1358"/>
      <c r="B4" s="1359"/>
      <c r="C4" s="1359"/>
      <c r="D4" s="1359"/>
      <c r="E4" s="1359"/>
      <c r="F4" s="1359"/>
      <c r="G4" s="1359"/>
      <c r="H4" s="1359"/>
      <c r="I4" s="1359"/>
      <c r="J4" s="1359"/>
      <c r="K4" s="166"/>
    </row>
    <row r="5" spans="1:11" ht="15.75" customHeight="1">
      <c r="A5" s="167"/>
      <c r="B5" s="168"/>
      <c r="C5" s="168"/>
      <c r="D5" s="168"/>
      <c r="E5" s="168"/>
      <c r="F5" s="168"/>
      <c r="G5" s="168"/>
      <c r="H5" s="168"/>
      <c r="I5" s="168"/>
      <c r="J5" s="169"/>
      <c r="K5" s="166"/>
    </row>
    <row r="6" spans="1:11" ht="15.75" customHeight="1">
      <c r="A6" s="1349" t="s">
        <v>208</v>
      </c>
      <c r="B6" s="1350"/>
      <c r="C6" s="1350"/>
      <c r="D6" s="1350"/>
      <c r="E6" s="1350"/>
      <c r="F6" s="1350"/>
      <c r="G6" s="1350"/>
      <c r="H6" s="1350"/>
      <c r="I6" s="1350"/>
      <c r="J6" s="1351"/>
      <c r="K6" s="166"/>
    </row>
    <row r="7" spans="1:11" ht="15.75" customHeight="1" thickBot="1">
      <c r="A7" s="170"/>
      <c r="B7" s="171"/>
      <c r="C7" s="171"/>
      <c r="D7" s="171"/>
      <c r="E7" s="171"/>
      <c r="F7" s="171"/>
      <c r="G7" s="171"/>
      <c r="H7" s="171"/>
      <c r="I7" s="171"/>
      <c r="J7" s="172"/>
      <c r="K7" s="166"/>
    </row>
    <row r="8" spans="1:11" ht="36" customHeight="1">
      <c r="A8" s="173" t="s">
        <v>209</v>
      </c>
      <c r="B8" s="1367" t="s">
        <v>0</v>
      </c>
      <c r="C8" s="1368"/>
      <c r="D8" s="174" t="s">
        <v>210</v>
      </c>
      <c r="E8" s="175" t="s">
        <v>211</v>
      </c>
      <c r="F8" s="175" t="s">
        <v>212</v>
      </c>
      <c r="G8" s="175" t="s">
        <v>213</v>
      </c>
      <c r="H8" s="175" t="s">
        <v>214</v>
      </c>
      <c r="I8" s="176" t="s">
        <v>215</v>
      </c>
      <c r="J8" s="177" t="s">
        <v>216</v>
      </c>
    </row>
    <row r="9" spans="1:11" ht="16.5" customHeight="1">
      <c r="A9" s="427">
        <f>'F1  Cover'!A14</f>
        <v>3200</v>
      </c>
      <c r="B9" s="1360" t="str">
        <f>'F1  Cover'!B14</f>
        <v>DETAILED ASSESSMENT PHASE</v>
      </c>
      <c r="C9" s="1361"/>
      <c r="D9" s="178">
        <f>'F1  Cover'!L14</f>
        <v>3200</v>
      </c>
      <c r="E9" s="179">
        <f>'3200'!J26</f>
        <v>201000</v>
      </c>
      <c r="F9" s="179">
        <f>'3200'!K26</f>
        <v>201000</v>
      </c>
      <c r="G9" s="179">
        <f>'3200'!L26</f>
        <v>0</v>
      </c>
      <c r="H9" s="179">
        <f>'3200'!M26</f>
        <v>0</v>
      </c>
      <c r="I9" s="180">
        <f>'3200'!N26</f>
        <v>0</v>
      </c>
      <c r="J9" s="181">
        <f>IF(I9=0,1,((F9-I9)/F9))</f>
        <v>1</v>
      </c>
    </row>
    <row r="10" spans="1:11" ht="16.5" customHeight="1">
      <c r="A10" s="427">
        <f>'F1  Cover'!A16</f>
        <v>3300</v>
      </c>
      <c r="B10" s="1360" t="str">
        <f>'F1  Cover'!B16</f>
        <v>TENDER DOCUMENTATION</v>
      </c>
      <c r="C10" s="1361"/>
      <c r="D10" s="178">
        <f>'F1  Cover'!L16</f>
        <v>3300</v>
      </c>
      <c r="E10" s="179">
        <f>'3300'!J11</f>
        <v>0</v>
      </c>
      <c r="F10" s="179">
        <f>'3300'!K11</f>
        <v>0</v>
      </c>
      <c r="G10" s="179">
        <f>'3300'!L11</f>
        <v>0</v>
      </c>
      <c r="H10" s="179">
        <f>'3300'!M11</f>
        <v>0</v>
      </c>
      <c r="I10" s="179">
        <f>'3300'!N11</f>
        <v>0</v>
      </c>
      <c r="J10" s="181">
        <f t="shared" ref="J10:J16" si="0">IF(I10=0,1,((F10-I10)/F10))</f>
        <v>1</v>
      </c>
    </row>
    <row r="11" spans="1:11" ht="16.5" customHeight="1">
      <c r="A11" s="427">
        <f>'F1  Cover'!A18</f>
        <v>3400</v>
      </c>
      <c r="B11" s="1360" t="str">
        <f>'F1  Cover'!B18</f>
        <v>SITE INSPECTION AND TENDER PERIOD</v>
      </c>
      <c r="C11" s="1361"/>
      <c r="D11" s="178">
        <f>'F1  Cover'!L18</f>
        <v>3400</v>
      </c>
      <c r="E11" s="179">
        <f>'3400'!J16</f>
        <v>15000</v>
      </c>
      <c r="F11" s="179">
        <f>'3400'!K16</f>
        <v>15000</v>
      </c>
      <c r="G11" s="179">
        <f>'3400'!L16</f>
        <v>0</v>
      </c>
      <c r="H11" s="179">
        <f>'3400'!M16</f>
        <v>0</v>
      </c>
      <c r="I11" s="180">
        <f>'3400'!N16</f>
        <v>0</v>
      </c>
      <c r="J11" s="181">
        <f t="shared" si="0"/>
        <v>1</v>
      </c>
    </row>
    <row r="12" spans="1:11" ht="16.5" customHeight="1">
      <c r="A12" s="427">
        <f>'F1  Cover'!A20</f>
        <v>3500</v>
      </c>
      <c r="B12" s="1360" t="str">
        <f>'F1  Cover'!B20</f>
        <v>ADMINISTRATION &amp; MONITORING OF WORKS CONTRACT</v>
      </c>
      <c r="C12" s="1361"/>
      <c r="D12" s="178">
        <f>'F1  Cover'!L20</f>
        <v>3500</v>
      </c>
      <c r="E12" s="179">
        <f>'3500'!J52</f>
        <v>16890000</v>
      </c>
      <c r="F12" s="179">
        <f>'3500'!K52</f>
        <v>16890000</v>
      </c>
      <c r="G12" s="179">
        <f>'3500'!L52</f>
        <v>0</v>
      </c>
      <c r="H12" s="179">
        <f>'3500'!M52</f>
        <v>0</v>
      </c>
      <c r="I12" s="180">
        <f>'3500'!N52</f>
        <v>0</v>
      </c>
      <c r="J12" s="181">
        <f t="shared" si="0"/>
        <v>1</v>
      </c>
    </row>
    <row r="13" spans="1:11" ht="16.5" customHeight="1">
      <c r="A13" s="427">
        <f>'F1  Cover'!A22</f>
        <v>3600</v>
      </c>
      <c r="B13" s="1360" t="str">
        <f>'F1  Cover'!B22</f>
        <v>ADDITIONAL DUTIES</v>
      </c>
      <c r="C13" s="1361"/>
      <c r="D13" s="178">
        <f>'F1  Cover'!L22</f>
        <v>3600</v>
      </c>
      <c r="E13" s="179">
        <f>'3600'!J33</f>
        <v>4900500</v>
      </c>
      <c r="F13" s="179">
        <f>'3600'!K33</f>
        <v>4900500</v>
      </c>
      <c r="G13" s="179">
        <f>'3600'!L33</f>
        <v>0</v>
      </c>
      <c r="H13" s="179">
        <f>'3600'!M33</f>
        <v>0</v>
      </c>
      <c r="I13" s="180">
        <f>'3600'!N33</f>
        <v>0</v>
      </c>
      <c r="J13" s="181">
        <f t="shared" si="0"/>
        <v>1</v>
      </c>
    </row>
    <row r="14" spans="1:11" ht="16.5" customHeight="1">
      <c r="A14" s="427">
        <f>'F1  Cover'!A24</f>
        <v>3700</v>
      </c>
      <c r="B14" s="1360" t="str">
        <f>'F1  Cover'!B24</f>
        <v>OFF-SITE MATERIALS TESTING</v>
      </c>
      <c r="C14" s="1361"/>
      <c r="D14" s="178">
        <f>'F1  Cover'!L24</f>
        <v>3700</v>
      </c>
      <c r="E14" s="179">
        <f>'3700'!J11</f>
        <v>200000</v>
      </c>
      <c r="F14" s="179">
        <f>'3700'!K11</f>
        <v>200000</v>
      </c>
      <c r="G14" s="179">
        <f>'3700'!L11</f>
        <v>0</v>
      </c>
      <c r="H14" s="179">
        <f>'3700'!M11</f>
        <v>0</v>
      </c>
      <c r="I14" s="180">
        <f>'3700'!N11</f>
        <v>0</v>
      </c>
      <c r="J14" s="181">
        <f t="shared" si="0"/>
        <v>1</v>
      </c>
    </row>
    <row r="15" spans="1:11" ht="16.5" customHeight="1">
      <c r="A15" s="427">
        <f>'F1  Cover'!A26</f>
        <v>3800</v>
      </c>
      <c r="B15" s="1360" t="str">
        <f>'F1  Cover'!B26</f>
        <v>CLOSE OUT</v>
      </c>
      <c r="C15" s="1361"/>
      <c r="D15" s="178">
        <f>'F1  Cover'!L26</f>
        <v>3800</v>
      </c>
      <c r="E15" s="179">
        <f>'3800'!J11</f>
        <v>0</v>
      </c>
      <c r="F15" s="179">
        <f>'3800'!K11</f>
        <v>0</v>
      </c>
      <c r="G15" s="179">
        <f>'3800'!L11</f>
        <v>0</v>
      </c>
      <c r="H15" s="179">
        <f>'3800'!M11</f>
        <v>0</v>
      </c>
      <c r="I15" s="179">
        <f>'3800'!N11</f>
        <v>0</v>
      </c>
      <c r="J15" s="181">
        <f t="shared" ref="J15" si="1">IF(I15=0,1,((F15-I15)/F15))</f>
        <v>1</v>
      </c>
    </row>
    <row r="16" spans="1:11" ht="16.5" customHeight="1">
      <c r="A16" s="183"/>
      <c r="B16" s="1362" t="s">
        <v>217</v>
      </c>
      <c r="C16" s="1362"/>
      <c r="D16" s="178"/>
      <c r="E16" s="184">
        <f>SUM(E9:E15)</f>
        <v>22206500</v>
      </c>
      <c r="F16" s="184">
        <f>SUM(F9:F15)</f>
        <v>22206500</v>
      </c>
      <c r="G16" s="184">
        <f>SUM(G9:G15)</f>
        <v>0</v>
      </c>
      <c r="H16" s="184">
        <f>SUM(H9:H15)</f>
        <v>0</v>
      </c>
      <c r="I16" s="184">
        <f>SUM(I9:I15)</f>
        <v>0</v>
      </c>
      <c r="J16" s="181">
        <f t="shared" si="0"/>
        <v>1</v>
      </c>
    </row>
    <row r="17" spans="1:10" ht="24" customHeight="1">
      <c r="A17" s="185"/>
      <c r="B17" s="1363" t="s">
        <v>218</v>
      </c>
      <c r="C17" s="1363"/>
      <c r="D17" s="1364"/>
      <c r="E17" s="932" t="s">
        <v>677</v>
      </c>
      <c r="F17" s="931">
        <f>F16-E16</f>
        <v>0</v>
      </c>
      <c r="G17" s="186"/>
      <c r="H17" s="186"/>
      <c r="I17" s="187"/>
      <c r="J17" s="188">
        <f>I9+I10+I11</f>
        <v>0</v>
      </c>
    </row>
    <row r="18" spans="1:10" ht="24" customHeight="1" thickBot="1">
      <c r="A18" s="189"/>
      <c r="B18" s="1365" t="s">
        <v>219</v>
      </c>
      <c r="C18" s="1365"/>
      <c r="D18" s="1366"/>
      <c r="E18" s="190"/>
      <c r="F18" s="190"/>
      <c r="G18" s="190"/>
      <c r="H18" s="190"/>
      <c r="I18" s="191"/>
      <c r="J18" s="192">
        <f>I12+I13+I14</f>
        <v>0</v>
      </c>
    </row>
    <row r="19" spans="1:10">
      <c r="A19" s="193"/>
      <c r="B19" s="194"/>
      <c r="C19" s="194"/>
      <c r="D19" s="194"/>
      <c r="E19" s="194"/>
      <c r="F19" s="194"/>
      <c r="G19" s="194"/>
      <c r="H19" s="194"/>
      <c r="I19" s="195"/>
      <c r="J19" s="196"/>
    </row>
    <row r="20" spans="1:10" ht="15.75" customHeight="1">
      <c r="A20" s="197" t="s">
        <v>220</v>
      </c>
      <c r="B20" s="198"/>
      <c r="C20" s="198"/>
      <c r="D20" s="198"/>
      <c r="E20" s="198"/>
      <c r="F20" s="198"/>
      <c r="G20" s="198"/>
      <c r="H20" s="198"/>
      <c r="I20" s="199"/>
      <c r="J20" s="200"/>
    </row>
    <row r="21" spans="1:10" ht="16.5" customHeight="1" thickBot="1">
      <c r="A21" s="201"/>
      <c r="B21" s="202"/>
      <c r="C21" s="202"/>
      <c r="D21" s="202"/>
      <c r="E21" s="202"/>
      <c r="F21" s="202"/>
      <c r="G21" s="202"/>
      <c r="H21" s="203" t="s">
        <v>190</v>
      </c>
      <c r="I21" s="204" t="s">
        <v>191</v>
      </c>
      <c r="J21" s="205" t="s">
        <v>221</v>
      </c>
    </row>
    <row r="22" spans="1:10" ht="16.5" customHeight="1">
      <c r="A22" s="206"/>
      <c r="B22" s="207" t="s">
        <v>217</v>
      </c>
      <c r="C22" s="207"/>
      <c r="D22" s="207"/>
      <c r="E22" s="207"/>
      <c r="F22" s="207"/>
      <c r="G22" s="207"/>
      <c r="H22" s="208">
        <f>J17</f>
        <v>0</v>
      </c>
      <c r="I22" s="208">
        <f>J18</f>
        <v>0</v>
      </c>
      <c r="J22" s="209">
        <f>I16</f>
        <v>0</v>
      </c>
    </row>
    <row r="23" spans="1:10" ht="16.5" customHeight="1">
      <c r="A23" s="206"/>
      <c r="B23" s="207" t="s">
        <v>385</v>
      </c>
      <c r="C23" s="207"/>
      <c r="D23" s="207"/>
      <c r="E23" s="207"/>
      <c r="F23" s="207"/>
      <c r="G23" s="207"/>
      <c r="H23" s="210">
        <f>'Pg 6 WAF with CPI'!$L$31</f>
        <v>0</v>
      </c>
      <c r="I23" s="210">
        <f>'Pg 6 WAF with CPI'!$L$32</f>
        <v>0</v>
      </c>
      <c r="J23" s="209">
        <f>H23+I23</f>
        <v>0</v>
      </c>
    </row>
    <row r="24" spans="1:10" ht="16.5" customHeight="1">
      <c r="A24" s="206"/>
      <c r="B24" s="207" t="s">
        <v>665</v>
      </c>
      <c r="C24" s="207"/>
      <c r="D24" s="207"/>
      <c r="E24" s="207"/>
      <c r="F24" s="207"/>
      <c r="G24" s="207"/>
      <c r="H24" s="210">
        <f>'3200'!N30+'3300'!N15+'3400'!N20</f>
        <v>0</v>
      </c>
      <c r="I24" s="210" t="e">
        <f>'3500'!N56+'3600'!N37+'3700'!N15</f>
        <v>#REF!</v>
      </c>
      <c r="J24" s="209" t="e">
        <f>H24+I24</f>
        <v>#REF!</v>
      </c>
    </row>
    <row r="25" spans="1:10" ht="16.5" customHeight="1">
      <c r="A25" s="206"/>
      <c r="B25" s="207"/>
      <c r="C25" s="207" t="s">
        <v>222</v>
      </c>
      <c r="D25" s="207"/>
      <c r="E25" s="207"/>
      <c r="F25" s="207"/>
      <c r="G25" s="207"/>
      <c r="H25" s="210">
        <f>H22+H23-H24</f>
        <v>0</v>
      </c>
      <c r="I25" s="210" t="e">
        <f>I22+I23-I24</f>
        <v>#REF!</v>
      </c>
      <c r="J25" s="211" t="e">
        <f>J22+J23-J24</f>
        <v>#REF!</v>
      </c>
    </row>
    <row r="26" spans="1:10" ht="16.5" customHeight="1">
      <c r="A26" s="212"/>
      <c r="B26" s="182" t="s">
        <v>223</v>
      </c>
      <c r="C26" s="182"/>
      <c r="D26" s="182"/>
      <c r="E26" s="182"/>
      <c r="F26" s="182"/>
      <c r="G26" s="182"/>
      <c r="H26" s="582">
        <f>DATA!S52</f>
        <v>0</v>
      </c>
      <c r="I26" s="582">
        <f>DATA!T52</f>
        <v>0</v>
      </c>
      <c r="J26" s="211">
        <f>H26+I26</f>
        <v>0</v>
      </c>
    </row>
    <row r="27" spans="1:10" ht="16.5" customHeight="1" thickBot="1">
      <c r="A27" s="213"/>
      <c r="B27" s="214" t="s">
        <v>224</v>
      </c>
      <c r="C27" s="215"/>
      <c r="D27" s="215"/>
      <c r="E27" s="215"/>
      <c r="F27" s="215"/>
      <c r="G27" s="215"/>
      <c r="H27" s="216">
        <f>H25-H26</f>
        <v>0</v>
      </c>
      <c r="I27" s="216" t="e">
        <f>I25-I26</f>
        <v>#REF!</v>
      </c>
      <c r="J27" s="217" t="e">
        <f>J25-J26</f>
        <v>#REF!</v>
      </c>
    </row>
  </sheetData>
  <mergeCells count="17">
    <mergeCell ref="B14:C14"/>
    <mergeCell ref="B16:C16"/>
    <mergeCell ref="B17:D17"/>
    <mergeCell ref="B18:D18"/>
    <mergeCell ref="B8:C8"/>
    <mergeCell ref="B9:C9"/>
    <mergeCell ref="B10:C10"/>
    <mergeCell ref="B11:C11"/>
    <mergeCell ref="B12:C12"/>
    <mergeCell ref="B13:C13"/>
    <mergeCell ref="B15:C15"/>
    <mergeCell ref="A6:J6"/>
    <mergeCell ref="A2:J2"/>
    <mergeCell ref="A3:C3"/>
    <mergeCell ref="G3:H3"/>
    <mergeCell ref="I3:J3"/>
    <mergeCell ref="A4:J4"/>
  </mergeCells>
  <printOptions horizontalCentered="1"/>
  <pageMargins left="3.937007874015748E-2" right="0.19685039370078741" top="0.55000000000000004" bottom="3.937007874015748E-2" header="0.32" footer="0.39370078740157483"/>
  <pageSetup paperSize="9" scale="97" fitToHeight="0" orientation="landscape" blackAndWhite="1" horizontalDpi="4294967292" r:id="rId1"/>
  <headerFooter alignWithMargins="0">
    <oddHeader>&amp;L&amp;"Calibri"&amp;10&amp;K000000 Sensitivity - General&amp;1#_x000D_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9">
    <tabColor rgb="FF0070C0"/>
    <pageSetUpPr fitToPage="1"/>
  </sheetPr>
  <dimension ref="A1:Q170"/>
  <sheetViews>
    <sheetView view="pageBreakPreview" zoomScale="80" zoomScaleNormal="75" zoomScaleSheetLayoutView="80" workbookViewId="0">
      <selection sqref="A1:E1"/>
    </sheetView>
  </sheetViews>
  <sheetFormatPr defaultRowHeight="13.2"/>
  <cols>
    <col min="1" max="1" width="19.109375" style="10" customWidth="1"/>
    <col min="2" max="2" width="10.5546875" style="10" customWidth="1"/>
    <col min="3" max="3" width="9.6640625" style="10" customWidth="1"/>
    <col min="4" max="4" width="11.33203125" style="10" customWidth="1"/>
    <col min="5" max="6" width="7" style="10" customWidth="1"/>
    <col min="7" max="7" width="6.6640625" style="10" customWidth="1"/>
    <col min="8" max="8" width="9.88671875" style="10" customWidth="1"/>
    <col min="9" max="9" width="7" style="10" customWidth="1"/>
    <col min="10" max="10" width="9.44140625" style="219" customWidth="1"/>
    <col min="11" max="12" width="11.5546875" style="10" customWidth="1"/>
    <col min="13" max="13" width="13.88671875" style="10" customWidth="1"/>
    <col min="14" max="14" width="13.6640625" style="10" customWidth="1"/>
    <col min="15" max="17" width="13.44140625" style="10" bestFit="1" customWidth="1"/>
    <col min="18" max="256" width="9.109375" style="10"/>
    <col min="257" max="257" width="19.109375" style="10" customWidth="1"/>
    <col min="258" max="258" width="10.5546875" style="10" customWidth="1"/>
    <col min="259" max="259" width="9.6640625" style="10" customWidth="1"/>
    <col min="260" max="260" width="11.33203125" style="10" customWidth="1"/>
    <col min="261" max="262" width="7" style="10" customWidth="1"/>
    <col min="263" max="263" width="6.6640625" style="10" customWidth="1"/>
    <col min="264" max="264" width="9.88671875" style="10" customWidth="1"/>
    <col min="265" max="265" width="7" style="10" customWidth="1"/>
    <col min="266" max="266" width="9.44140625" style="10" customWidth="1"/>
    <col min="267" max="268" width="11.5546875" style="10" customWidth="1"/>
    <col min="269" max="269" width="13.88671875" style="10" customWidth="1"/>
    <col min="270" max="270" width="13.6640625" style="10" customWidth="1"/>
    <col min="271" max="273" width="13.44140625" style="10" bestFit="1" customWidth="1"/>
    <col min="274" max="512" width="9.109375" style="10"/>
    <col min="513" max="513" width="19.109375" style="10" customWidth="1"/>
    <col min="514" max="514" width="10.5546875" style="10" customWidth="1"/>
    <col min="515" max="515" width="9.6640625" style="10" customWidth="1"/>
    <col min="516" max="516" width="11.33203125" style="10" customWidth="1"/>
    <col min="517" max="518" width="7" style="10" customWidth="1"/>
    <col min="519" max="519" width="6.6640625" style="10" customWidth="1"/>
    <col min="520" max="520" width="9.88671875" style="10" customWidth="1"/>
    <col min="521" max="521" width="7" style="10" customWidth="1"/>
    <col min="522" max="522" width="9.44140625" style="10" customWidth="1"/>
    <col min="523" max="524" width="11.5546875" style="10" customWidth="1"/>
    <col min="525" max="525" width="13.88671875" style="10" customWidth="1"/>
    <col min="526" max="526" width="13.6640625" style="10" customWidth="1"/>
    <col min="527" max="529" width="13.44140625" style="10" bestFit="1" customWidth="1"/>
    <col min="530" max="768" width="9.109375" style="10"/>
    <col min="769" max="769" width="19.109375" style="10" customWidth="1"/>
    <col min="770" max="770" width="10.5546875" style="10" customWidth="1"/>
    <col min="771" max="771" width="9.6640625" style="10" customWidth="1"/>
    <col min="772" max="772" width="11.33203125" style="10" customWidth="1"/>
    <col min="773" max="774" width="7" style="10" customWidth="1"/>
    <col min="775" max="775" width="6.6640625" style="10" customWidth="1"/>
    <col min="776" max="776" width="9.88671875" style="10" customWidth="1"/>
    <col min="777" max="777" width="7" style="10" customWidth="1"/>
    <col min="778" max="778" width="9.44140625" style="10" customWidth="1"/>
    <col min="779" max="780" width="11.5546875" style="10" customWidth="1"/>
    <col min="781" max="781" width="13.88671875" style="10" customWidth="1"/>
    <col min="782" max="782" width="13.6640625" style="10" customWidth="1"/>
    <col min="783" max="785" width="13.44140625" style="10" bestFit="1" customWidth="1"/>
    <col min="786" max="1024" width="9.109375" style="10"/>
    <col min="1025" max="1025" width="19.109375" style="10" customWidth="1"/>
    <col min="1026" max="1026" width="10.5546875" style="10" customWidth="1"/>
    <col min="1027" max="1027" width="9.6640625" style="10" customWidth="1"/>
    <col min="1028" max="1028" width="11.33203125" style="10" customWidth="1"/>
    <col min="1029" max="1030" width="7" style="10" customWidth="1"/>
    <col min="1031" max="1031" width="6.6640625" style="10" customWidth="1"/>
    <col min="1032" max="1032" width="9.88671875" style="10" customWidth="1"/>
    <col min="1033" max="1033" width="7" style="10" customWidth="1"/>
    <col min="1034" max="1034" width="9.44140625" style="10" customWidth="1"/>
    <col min="1035" max="1036" width="11.5546875" style="10" customWidth="1"/>
    <col min="1037" max="1037" width="13.88671875" style="10" customWidth="1"/>
    <col min="1038" max="1038" width="13.6640625" style="10" customWidth="1"/>
    <col min="1039" max="1041" width="13.44140625" style="10" bestFit="1" customWidth="1"/>
    <col min="1042" max="1280" width="9.109375" style="10"/>
    <col min="1281" max="1281" width="19.109375" style="10" customWidth="1"/>
    <col min="1282" max="1282" width="10.5546875" style="10" customWidth="1"/>
    <col min="1283" max="1283" width="9.6640625" style="10" customWidth="1"/>
    <col min="1284" max="1284" width="11.33203125" style="10" customWidth="1"/>
    <col min="1285" max="1286" width="7" style="10" customWidth="1"/>
    <col min="1287" max="1287" width="6.6640625" style="10" customWidth="1"/>
    <col min="1288" max="1288" width="9.88671875" style="10" customWidth="1"/>
    <col min="1289" max="1289" width="7" style="10" customWidth="1"/>
    <col min="1290" max="1290" width="9.44140625" style="10" customWidth="1"/>
    <col min="1291" max="1292" width="11.5546875" style="10" customWidth="1"/>
    <col min="1293" max="1293" width="13.88671875" style="10" customWidth="1"/>
    <col min="1294" max="1294" width="13.6640625" style="10" customWidth="1"/>
    <col min="1295" max="1297" width="13.44140625" style="10" bestFit="1" customWidth="1"/>
    <col min="1298" max="1536" width="9.109375" style="10"/>
    <col min="1537" max="1537" width="19.109375" style="10" customWidth="1"/>
    <col min="1538" max="1538" width="10.5546875" style="10" customWidth="1"/>
    <col min="1539" max="1539" width="9.6640625" style="10" customWidth="1"/>
    <col min="1540" max="1540" width="11.33203125" style="10" customWidth="1"/>
    <col min="1541" max="1542" width="7" style="10" customWidth="1"/>
    <col min="1543" max="1543" width="6.6640625" style="10" customWidth="1"/>
    <col min="1544" max="1544" width="9.88671875" style="10" customWidth="1"/>
    <col min="1545" max="1545" width="7" style="10" customWidth="1"/>
    <col min="1546" max="1546" width="9.44140625" style="10" customWidth="1"/>
    <col min="1547" max="1548" width="11.5546875" style="10" customWidth="1"/>
    <col min="1549" max="1549" width="13.88671875" style="10" customWidth="1"/>
    <col min="1550" max="1550" width="13.6640625" style="10" customWidth="1"/>
    <col min="1551" max="1553" width="13.44140625" style="10" bestFit="1" customWidth="1"/>
    <col min="1554" max="1792" width="9.109375" style="10"/>
    <col min="1793" max="1793" width="19.109375" style="10" customWidth="1"/>
    <col min="1794" max="1794" width="10.5546875" style="10" customWidth="1"/>
    <col min="1795" max="1795" width="9.6640625" style="10" customWidth="1"/>
    <col min="1796" max="1796" width="11.33203125" style="10" customWidth="1"/>
    <col min="1797" max="1798" width="7" style="10" customWidth="1"/>
    <col min="1799" max="1799" width="6.6640625" style="10" customWidth="1"/>
    <col min="1800" max="1800" width="9.88671875" style="10" customWidth="1"/>
    <col min="1801" max="1801" width="7" style="10" customWidth="1"/>
    <col min="1802" max="1802" width="9.44140625" style="10" customWidth="1"/>
    <col min="1803" max="1804" width="11.5546875" style="10" customWidth="1"/>
    <col min="1805" max="1805" width="13.88671875" style="10" customWidth="1"/>
    <col min="1806" max="1806" width="13.6640625" style="10" customWidth="1"/>
    <col min="1807" max="1809" width="13.44140625" style="10" bestFit="1" customWidth="1"/>
    <col min="1810" max="2048" width="9.109375" style="10"/>
    <col min="2049" max="2049" width="19.109375" style="10" customWidth="1"/>
    <col min="2050" max="2050" width="10.5546875" style="10" customWidth="1"/>
    <col min="2051" max="2051" width="9.6640625" style="10" customWidth="1"/>
    <col min="2052" max="2052" width="11.33203125" style="10" customWidth="1"/>
    <col min="2053" max="2054" width="7" style="10" customWidth="1"/>
    <col min="2055" max="2055" width="6.6640625" style="10" customWidth="1"/>
    <col min="2056" max="2056" width="9.88671875" style="10" customWidth="1"/>
    <col min="2057" max="2057" width="7" style="10" customWidth="1"/>
    <col min="2058" max="2058" width="9.44140625" style="10" customWidth="1"/>
    <col min="2059" max="2060" width="11.5546875" style="10" customWidth="1"/>
    <col min="2061" max="2061" width="13.88671875" style="10" customWidth="1"/>
    <col min="2062" max="2062" width="13.6640625" style="10" customWidth="1"/>
    <col min="2063" max="2065" width="13.44140625" style="10" bestFit="1" customWidth="1"/>
    <col min="2066" max="2304" width="9.109375" style="10"/>
    <col min="2305" max="2305" width="19.109375" style="10" customWidth="1"/>
    <col min="2306" max="2306" width="10.5546875" style="10" customWidth="1"/>
    <col min="2307" max="2307" width="9.6640625" style="10" customWidth="1"/>
    <col min="2308" max="2308" width="11.33203125" style="10" customWidth="1"/>
    <col min="2309" max="2310" width="7" style="10" customWidth="1"/>
    <col min="2311" max="2311" width="6.6640625" style="10" customWidth="1"/>
    <col min="2312" max="2312" width="9.88671875" style="10" customWidth="1"/>
    <col min="2313" max="2313" width="7" style="10" customWidth="1"/>
    <col min="2314" max="2314" width="9.44140625" style="10" customWidth="1"/>
    <col min="2315" max="2316" width="11.5546875" style="10" customWidth="1"/>
    <col min="2317" max="2317" width="13.88671875" style="10" customWidth="1"/>
    <col min="2318" max="2318" width="13.6640625" style="10" customWidth="1"/>
    <col min="2319" max="2321" width="13.44140625" style="10" bestFit="1" customWidth="1"/>
    <col min="2322" max="2560" width="9.109375" style="10"/>
    <col min="2561" max="2561" width="19.109375" style="10" customWidth="1"/>
    <col min="2562" max="2562" width="10.5546875" style="10" customWidth="1"/>
    <col min="2563" max="2563" width="9.6640625" style="10" customWidth="1"/>
    <col min="2564" max="2564" width="11.33203125" style="10" customWidth="1"/>
    <col min="2565" max="2566" width="7" style="10" customWidth="1"/>
    <col min="2567" max="2567" width="6.6640625" style="10" customWidth="1"/>
    <col min="2568" max="2568" width="9.88671875" style="10" customWidth="1"/>
    <col min="2569" max="2569" width="7" style="10" customWidth="1"/>
    <col min="2570" max="2570" width="9.44140625" style="10" customWidth="1"/>
    <col min="2571" max="2572" width="11.5546875" style="10" customWidth="1"/>
    <col min="2573" max="2573" width="13.88671875" style="10" customWidth="1"/>
    <col min="2574" max="2574" width="13.6640625" style="10" customWidth="1"/>
    <col min="2575" max="2577" width="13.44140625" style="10" bestFit="1" customWidth="1"/>
    <col min="2578" max="2816" width="9.109375" style="10"/>
    <col min="2817" max="2817" width="19.109375" style="10" customWidth="1"/>
    <col min="2818" max="2818" width="10.5546875" style="10" customWidth="1"/>
    <col min="2819" max="2819" width="9.6640625" style="10" customWidth="1"/>
    <col min="2820" max="2820" width="11.33203125" style="10" customWidth="1"/>
    <col min="2821" max="2822" width="7" style="10" customWidth="1"/>
    <col min="2823" max="2823" width="6.6640625" style="10" customWidth="1"/>
    <col min="2824" max="2824" width="9.88671875" style="10" customWidth="1"/>
    <col min="2825" max="2825" width="7" style="10" customWidth="1"/>
    <col min="2826" max="2826" width="9.44140625" style="10" customWidth="1"/>
    <col min="2827" max="2828" width="11.5546875" style="10" customWidth="1"/>
    <col min="2829" max="2829" width="13.88671875" style="10" customWidth="1"/>
    <col min="2830" max="2830" width="13.6640625" style="10" customWidth="1"/>
    <col min="2831" max="2833" width="13.44140625" style="10" bestFit="1" customWidth="1"/>
    <col min="2834" max="3072" width="9.109375" style="10"/>
    <col min="3073" max="3073" width="19.109375" style="10" customWidth="1"/>
    <col min="3074" max="3074" width="10.5546875" style="10" customWidth="1"/>
    <col min="3075" max="3075" width="9.6640625" style="10" customWidth="1"/>
    <col min="3076" max="3076" width="11.33203125" style="10" customWidth="1"/>
    <col min="3077" max="3078" width="7" style="10" customWidth="1"/>
    <col min="3079" max="3079" width="6.6640625" style="10" customWidth="1"/>
    <col min="3080" max="3080" width="9.88671875" style="10" customWidth="1"/>
    <col min="3081" max="3081" width="7" style="10" customWidth="1"/>
    <col min="3082" max="3082" width="9.44140625" style="10" customWidth="1"/>
    <col min="3083" max="3084" width="11.5546875" style="10" customWidth="1"/>
    <col min="3085" max="3085" width="13.88671875" style="10" customWidth="1"/>
    <col min="3086" max="3086" width="13.6640625" style="10" customWidth="1"/>
    <col min="3087" max="3089" width="13.44140625" style="10" bestFit="1" customWidth="1"/>
    <col min="3090" max="3328" width="9.109375" style="10"/>
    <col min="3329" max="3329" width="19.109375" style="10" customWidth="1"/>
    <col min="3330" max="3330" width="10.5546875" style="10" customWidth="1"/>
    <col min="3331" max="3331" width="9.6640625" style="10" customWidth="1"/>
    <col min="3332" max="3332" width="11.33203125" style="10" customWidth="1"/>
    <col min="3333" max="3334" width="7" style="10" customWidth="1"/>
    <col min="3335" max="3335" width="6.6640625" style="10" customWidth="1"/>
    <col min="3336" max="3336" width="9.88671875" style="10" customWidth="1"/>
    <col min="3337" max="3337" width="7" style="10" customWidth="1"/>
    <col min="3338" max="3338" width="9.44140625" style="10" customWidth="1"/>
    <col min="3339" max="3340" width="11.5546875" style="10" customWidth="1"/>
    <col min="3341" max="3341" width="13.88671875" style="10" customWidth="1"/>
    <col min="3342" max="3342" width="13.6640625" style="10" customWidth="1"/>
    <col min="3343" max="3345" width="13.44140625" style="10" bestFit="1" customWidth="1"/>
    <col min="3346" max="3584" width="9.109375" style="10"/>
    <col min="3585" max="3585" width="19.109375" style="10" customWidth="1"/>
    <col min="3586" max="3586" width="10.5546875" style="10" customWidth="1"/>
    <col min="3587" max="3587" width="9.6640625" style="10" customWidth="1"/>
    <col min="3588" max="3588" width="11.33203125" style="10" customWidth="1"/>
    <col min="3589" max="3590" width="7" style="10" customWidth="1"/>
    <col min="3591" max="3591" width="6.6640625" style="10" customWidth="1"/>
    <col min="3592" max="3592" width="9.88671875" style="10" customWidth="1"/>
    <col min="3593" max="3593" width="7" style="10" customWidth="1"/>
    <col min="3594" max="3594" width="9.44140625" style="10" customWidth="1"/>
    <col min="3595" max="3596" width="11.5546875" style="10" customWidth="1"/>
    <col min="3597" max="3597" width="13.88671875" style="10" customWidth="1"/>
    <col min="3598" max="3598" width="13.6640625" style="10" customWidth="1"/>
    <col min="3599" max="3601" width="13.44140625" style="10" bestFit="1" customWidth="1"/>
    <col min="3602" max="3840" width="9.109375" style="10"/>
    <col min="3841" max="3841" width="19.109375" style="10" customWidth="1"/>
    <col min="3842" max="3842" width="10.5546875" style="10" customWidth="1"/>
    <col min="3843" max="3843" width="9.6640625" style="10" customWidth="1"/>
    <col min="3844" max="3844" width="11.33203125" style="10" customWidth="1"/>
    <col min="3845" max="3846" width="7" style="10" customWidth="1"/>
    <col min="3847" max="3847" width="6.6640625" style="10" customWidth="1"/>
    <col min="3848" max="3848" width="9.88671875" style="10" customWidth="1"/>
    <col min="3849" max="3849" width="7" style="10" customWidth="1"/>
    <col min="3850" max="3850" width="9.44140625" style="10" customWidth="1"/>
    <col min="3851" max="3852" width="11.5546875" style="10" customWidth="1"/>
    <col min="3853" max="3853" width="13.88671875" style="10" customWidth="1"/>
    <col min="3854" max="3854" width="13.6640625" style="10" customWidth="1"/>
    <col min="3855" max="3857" width="13.44140625" style="10" bestFit="1" customWidth="1"/>
    <col min="3858" max="4096" width="9.109375" style="10"/>
    <col min="4097" max="4097" width="19.109375" style="10" customWidth="1"/>
    <col min="4098" max="4098" width="10.5546875" style="10" customWidth="1"/>
    <col min="4099" max="4099" width="9.6640625" style="10" customWidth="1"/>
    <col min="4100" max="4100" width="11.33203125" style="10" customWidth="1"/>
    <col min="4101" max="4102" width="7" style="10" customWidth="1"/>
    <col min="4103" max="4103" width="6.6640625" style="10" customWidth="1"/>
    <col min="4104" max="4104" width="9.88671875" style="10" customWidth="1"/>
    <col min="4105" max="4105" width="7" style="10" customWidth="1"/>
    <col min="4106" max="4106" width="9.44140625" style="10" customWidth="1"/>
    <col min="4107" max="4108" width="11.5546875" style="10" customWidth="1"/>
    <col min="4109" max="4109" width="13.88671875" style="10" customWidth="1"/>
    <col min="4110" max="4110" width="13.6640625" style="10" customWidth="1"/>
    <col min="4111" max="4113" width="13.44140625" style="10" bestFit="1" customWidth="1"/>
    <col min="4114" max="4352" width="9.109375" style="10"/>
    <col min="4353" max="4353" width="19.109375" style="10" customWidth="1"/>
    <col min="4354" max="4354" width="10.5546875" style="10" customWidth="1"/>
    <col min="4355" max="4355" width="9.6640625" style="10" customWidth="1"/>
    <col min="4356" max="4356" width="11.33203125" style="10" customWidth="1"/>
    <col min="4357" max="4358" width="7" style="10" customWidth="1"/>
    <col min="4359" max="4359" width="6.6640625" style="10" customWidth="1"/>
    <col min="4360" max="4360" width="9.88671875" style="10" customWidth="1"/>
    <col min="4361" max="4361" width="7" style="10" customWidth="1"/>
    <col min="4362" max="4362" width="9.44140625" style="10" customWidth="1"/>
    <col min="4363" max="4364" width="11.5546875" style="10" customWidth="1"/>
    <col min="4365" max="4365" width="13.88671875" style="10" customWidth="1"/>
    <col min="4366" max="4366" width="13.6640625" style="10" customWidth="1"/>
    <col min="4367" max="4369" width="13.44140625" style="10" bestFit="1" customWidth="1"/>
    <col min="4370" max="4608" width="9.109375" style="10"/>
    <col min="4609" max="4609" width="19.109375" style="10" customWidth="1"/>
    <col min="4610" max="4610" width="10.5546875" style="10" customWidth="1"/>
    <col min="4611" max="4611" width="9.6640625" style="10" customWidth="1"/>
    <col min="4612" max="4612" width="11.33203125" style="10" customWidth="1"/>
    <col min="4613" max="4614" width="7" style="10" customWidth="1"/>
    <col min="4615" max="4615" width="6.6640625" style="10" customWidth="1"/>
    <col min="4616" max="4616" width="9.88671875" style="10" customWidth="1"/>
    <col min="4617" max="4617" width="7" style="10" customWidth="1"/>
    <col min="4618" max="4618" width="9.44140625" style="10" customWidth="1"/>
    <col min="4619" max="4620" width="11.5546875" style="10" customWidth="1"/>
    <col min="4621" max="4621" width="13.88671875" style="10" customWidth="1"/>
    <col min="4622" max="4622" width="13.6640625" style="10" customWidth="1"/>
    <col min="4623" max="4625" width="13.44140625" style="10" bestFit="1" customWidth="1"/>
    <col min="4626" max="4864" width="9.109375" style="10"/>
    <col min="4865" max="4865" width="19.109375" style="10" customWidth="1"/>
    <col min="4866" max="4866" width="10.5546875" style="10" customWidth="1"/>
    <col min="4867" max="4867" width="9.6640625" style="10" customWidth="1"/>
    <col min="4868" max="4868" width="11.33203125" style="10" customWidth="1"/>
    <col min="4869" max="4870" width="7" style="10" customWidth="1"/>
    <col min="4871" max="4871" width="6.6640625" style="10" customWidth="1"/>
    <col min="4872" max="4872" width="9.88671875" style="10" customWidth="1"/>
    <col min="4873" max="4873" width="7" style="10" customWidth="1"/>
    <col min="4874" max="4874" width="9.44140625" style="10" customWidth="1"/>
    <col min="4875" max="4876" width="11.5546875" style="10" customWidth="1"/>
    <col min="4877" max="4877" width="13.88671875" style="10" customWidth="1"/>
    <col min="4878" max="4878" width="13.6640625" style="10" customWidth="1"/>
    <col min="4879" max="4881" width="13.44140625" style="10" bestFit="1" customWidth="1"/>
    <col min="4882" max="5120" width="9.109375" style="10"/>
    <col min="5121" max="5121" width="19.109375" style="10" customWidth="1"/>
    <col min="5122" max="5122" width="10.5546875" style="10" customWidth="1"/>
    <col min="5123" max="5123" width="9.6640625" style="10" customWidth="1"/>
    <col min="5124" max="5124" width="11.33203125" style="10" customWidth="1"/>
    <col min="5125" max="5126" width="7" style="10" customWidth="1"/>
    <col min="5127" max="5127" width="6.6640625" style="10" customWidth="1"/>
    <col min="5128" max="5128" width="9.88671875" style="10" customWidth="1"/>
    <col min="5129" max="5129" width="7" style="10" customWidth="1"/>
    <col min="5130" max="5130" width="9.44140625" style="10" customWidth="1"/>
    <col min="5131" max="5132" width="11.5546875" style="10" customWidth="1"/>
    <col min="5133" max="5133" width="13.88671875" style="10" customWidth="1"/>
    <col min="5134" max="5134" width="13.6640625" style="10" customWidth="1"/>
    <col min="5135" max="5137" width="13.44140625" style="10" bestFit="1" customWidth="1"/>
    <col min="5138" max="5376" width="9.109375" style="10"/>
    <col min="5377" max="5377" width="19.109375" style="10" customWidth="1"/>
    <col min="5378" max="5378" width="10.5546875" style="10" customWidth="1"/>
    <col min="5379" max="5379" width="9.6640625" style="10" customWidth="1"/>
    <col min="5380" max="5380" width="11.33203125" style="10" customWidth="1"/>
    <col min="5381" max="5382" width="7" style="10" customWidth="1"/>
    <col min="5383" max="5383" width="6.6640625" style="10" customWidth="1"/>
    <col min="5384" max="5384" width="9.88671875" style="10" customWidth="1"/>
    <col min="5385" max="5385" width="7" style="10" customWidth="1"/>
    <col min="5386" max="5386" width="9.44140625" style="10" customWidth="1"/>
    <col min="5387" max="5388" width="11.5546875" style="10" customWidth="1"/>
    <col min="5389" max="5389" width="13.88671875" style="10" customWidth="1"/>
    <col min="5390" max="5390" width="13.6640625" style="10" customWidth="1"/>
    <col min="5391" max="5393" width="13.44140625" style="10" bestFit="1" customWidth="1"/>
    <col min="5394" max="5632" width="9.109375" style="10"/>
    <col min="5633" max="5633" width="19.109375" style="10" customWidth="1"/>
    <col min="5634" max="5634" width="10.5546875" style="10" customWidth="1"/>
    <col min="5635" max="5635" width="9.6640625" style="10" customWidth="1"/>
    <col min="5636" max="5636" width="11.33203125" style="10" customWidth="1"/>
    <col min="5637" max="5638" width="7" style="10" customWidth="1"/>
    <col min="5639" max="5639" width="6.6640625" style="10" customWidth="1"/>
    <col min="5640" max="5640" width="9.88671875" style="10" customWidth="1"/>
    <col min="5641" max="5641" width="7" style="10" customWidth="1"/>
    <col min="5642" max="5642" width="9.44140625" style="10" customWidth="1"/>
    <col min="5643" max="5644" width="11.5546875" style="10" customWidth="1"/>
    <col min="5645" max="5645" width="13.88671875" style="10" customWidth="1"/>
    <col min="5646" max="5646" width="13.6640625" style="10" customWidth="1"/>
    <col min="5647" max="5649" width="13.44140625" style="10" bestFit="1" customWidth="1"/>
    <col min="5650" max="5888" width="9.109375" style="10"/>
    <col min="5889" max="5889" width="19.109375" style="10" customWidth="1"/>
    <col min="5890" max="5890" width="10.5546875" style="10" customWidth="1"/>
    <col min="5891" max="5891" width="9.6640625" style="10" customWidth="1"/>
    <col min="5892" max="5892" width="11.33203125" style="10" customWidth="1"/>
    <col min="5893" max="5894" width="7" style="10" customWidth="1"/>
    <col min="5895" max="5895" width="6.6640625" style="10" customWidth="1"/>
    <col min="5896" max="5896" width="9.88671875" style="10" customWidth="1"/>
    <col min="5897" max="5897" width="7" style="10" customWidth="1"/>
    <col min="5898" max="5898" width="9.44140625" style="10" customWidth="1"/>
    <col min="5899" max="5900" width="11.5546875" style="10" customWidth="1"/>
    <col min="5901" max="5901" width="13.88671875" style="10" customWidth="1"/>
    <col min="5902" max="5902" width="13.6640625" style="10" customWidth="1"/>
    <col min="5903" max="5905" width="13.44140625" style="10" bestFit="1" customWidth="1"/>
    <col min="5906" max="6144" width="9.109375" style="10"/>
    <col min="6145" max="6145" width="19.109375" style="10" customWidth="1"/>
    <col min="6146" max="6146" width="10.5546875" style="10" customWidth="1"/>
    <col min="6147" max="6147" width="9.6640625" style="10" customWidth="1"/>
    <col min="6148" max="6148" width="11.33203125" style="10" customWidth="1"/>
    <col min="6149" max="6150" width="7" style="10" customWidth="1"/>
    <col min="6151" max="6151" width="6.6640625" style="10" customWidth="1"/>
    <col min="6152" max="6152" width="9.88671875" style="10" customWidth="1"/>
    <col min="6153" max="6153" width="7" style="10" customWidth="1"/>
    <col min="6154" max="6154" width="9.44140625" style="10" customWidth="1"/>
    <col min="6155" max="6156" width="11.5546875" style="10" customWidth="1"/>
    <col min="6157" max="6157" width="13.88671875" style="10" customWidth="1"/>
    <col min="6158" max="6158" width="13.6640625" style="10" customWidth="1"/>
    <col min="6159" max="6161" width="13.44140625" style="10" bestFit="1" customWidth="1"/>
    <col min="6162" max="6400" width="9.109375" style="10"/>
    <col min="6401" max="6401" width="19.109375" style="10" customWidth="1"/>
    <col min="6402" max="6402" width="10.5546875" style="10" customWidth="1"/>
    <col min="6403" max="6403" width="9.6640625" style="10" customWidth="1"/>
    <col min="6404" max="6404" width="11.33203125" style="10" customWidth="1"/>
    <col min="6405" max="6406" width="7" style="10" customWidth="1"/>
    <col min="6407" max="6407" width="6.6640625" style="10" customWidth="1"/>
    <col min="6408" max="6408" width="9.88671875" style="10" customWidth="1"/>
    <col min="6409" max="6409" width="7" style="10" customWidth="1"/>
    <col min="6410" max="6410" width="9.44140625" style="10" customWidth="1"/>
    <col min="6411" max="6412" width="11.5546875" style="10" customWidth="1"/>
    <col min="6413" max="6413" width="13.88671875" style="10" customWidth="1"/>
    <col min="6414" max="6414" width="13.6640625" style="10" customWidth="1"/>
    <col min="6415" max="6417" width="13.44140625" style="10" bestFit="1" customWidth="1"/>
    <col min="6418" max="6656" width="9.109375" style="10"/>
    <col min="6657" max="6657" width="19.109375" style="10" customWidth="1"/>
    <col min="6658" max="6658" width="10.5546875" style="10" customWidth="1"/>
    <col min="6659" max="6659" width="9.6640625" style="10" customWidth="1"/>
    <col min="6660" max="6660" width="11.33203125" style="10" customWidth="1"/>
    <col min="6661" max="6662" width="7" style="10" customWidth="1"/>
    <col min="6663" max="6663" width="6.6640625" style="10" customWidth="1"/>
    <col min="6664" max="6664" width="9.88671875" style="10" customWidth="1"/>
    <col min="6665" max="6665" width="7" style="10" customWidth="1"/>
    <col min="6666" max="6666" width="9.44140625" style="10" customWidth="1"/>
    <col min="6667" max="6668" width="11.5546875" style="10" customWidth="1"/>
    <col min="6669" max="6669" width="13.88671875" style="10" customWidth="1"/>
    <col min="6670" max="6670" width="13.6640625" style="10" customWidth="1"/>
    <col min="6671" max="6673" width="13.44140625" style="10" bestFit="1" customWidth="1"/>
    <col min="6674" max="6912" width="9.109375" style="10"/>
    <col min="6913" max="6913" width="19.109375" style="10" customWidth="1"/>
    <col min="6914" max="6914" width="10.5546875" style="10" customWidth="1"/>
    <col min="6915" max="6915" width="9.6640625" style="10" customWidth="1"/>
    <col min="6916" max="6916" width="11.33203125" style="10" customWidth="1"/>
    <col min="6917" max="6918" width="7" style="10" customWidth="1"/>
    <col min="6919" max="6919" width="6.6640625" style="10" customWidth="1"/>
    <col min="6920" max="6920" width="9.88671875" style="10" customWidth="1"/>
    <col min="6921" max="6921" width="7" style="10" customWidth="1"/>
    <col min="6922" max="6922" width="9.44140625" style="10" customWidth="1"/>
    <col min="6923" max="6924" width="11.5546875" style="10" customWidth="1"/>
    <col min="6925" max="6925" width="13.88671875" style="10" customWidth="1"/>
    <col min="6926" max="6926" width="13.6640625" style="10" customWidth="1"/>
    <col min="6927" max="6929" width="13.44140625" style="10" bestFit="1" customWidth="1"/>
    <col min="6930" max="7168" width="9.109375" style="10"/>
    <col min="7169" max="7169" width="19.109375" style="10" customWidth="1"/>
    <col min="7170" max="7170" width="10.5546875" style="10" customWidth="1"/>
    <col min="7171" max="7171" width="9.6640625" style="10" customWidth="1"/>
    <col min="7172" max="7172" width="11.33203125" style="10" customWidth="1"/>
    <col min="7173" max="7174" width="7" style="10" customWidth="1"/>
    <col min="7175" max="7175" width="6.6640625" style="10" customWidth="1"/>
    <col min="7176" max="7176" width="9.88671875" style="10" customWidth="1"/>
    <col min="7177" max="7177" width="7" style="10" customWidth="1"/>
    <col min="7178" max="7178" width="9.44140625" style="10" customWidth="1"/>
    <col min="7179" max="7180" width="11.5546875" style="10" customWidth="1"/>
    <col min="7181" max="7181" width="13.88671875" style="10" customWidth="1"/>
    <col min="7182" max="7182" width="13.6640625" style="10" customWidth="1"/>
    <col min="7183" max="7185" width="13.44140625" style="10" bestFit="1" customWidth="1"/>
    <col min="7186" max="7424" width="9.109375" style="10"/>
    <col min="7425" max="7425" width="19.109375" style="10" customWidth="1"/>
    <col min="7426" max="7426" width="10.5546875" style="10" customWidth="1"/>
    <col min="7427" max="7427" width="9.6640625" style="10" customWidth="1"/>
    <col min="7428" max="7428" width="11.33203125" style="10" customWidth="1"/>
    <col min="7429" max="7430" width="7" style="10" customWidth="1"/>
    <col min="7431" max="7431" width="6.6640625" style="10" customWidth="1"/>
    <col min="7432" max="7432" width="9.88671875" style="10" customWidth="1"/>
    <col min="7433" max="7433" width="7" style="10" customWidth="1"/>
    <col min="7434" max="7434" width="9.44140625" style="10" customWidth="1"/>
    <col min="7435" max="7436" width="11.5546875" style="10" customWidth="1"/>
    <col min="7437" max="7437" width="13.88671875" style="10" customWidth="1"/>
    <col min="7438" max="7438" width="13.6640625" style="10" customWidth="1"/>
    <col min="7439" max="7441" width="13.44140625" style="10" bestFit="1" customWidth="1"/>
    <col min="7442" max="7680" width="9.109375" style="10"/>
    <col min="7681" max="7681" width="19.109375" style="10" customWidth="1"/>
    <col min="7682" max="7682" width="10.5546875" style="10" customWidth="1"/>
    <col min="7683" max="7683" width="9.6640625" style="10" customWidth="1"/>
    <col min="7684" max="7684" width="11.33203125" style="10" customWidth="1"/>
    <col min="7685" max="7686" width="7" style="10" customWidth="1"/>
    <col min="7687" max="7687" width="6.6640625" style="10" customWidth="1"/>
    <col min="7688" max="7688" width="9.88671875" style="10" customWidth="1"/>
    <col min="7689" max="7689" width="7" style="10" customWidth="1"/>
    <col min="7690" max="7690" width="9.44140625" style="10" customWidth="1"/>
    <col min="7691" max="7692" width="11.5546875" style="10" customWidth="1"/>
    <col min="7693" max="7693" width="13.88671875" style="10" customWidth="1"/>
    <col min="7694" max="7694" width="13.6640625" style="10" customWidth="1"/>
    <col min="7695" max="7697" width="13.44140625" style="10" bestFit="1" customWidth="1"/>
    <col min="7698" max="7936" width="9.109375" style="10"/>
    <col min="7937" max="7937" width="19.109375" style="10" customWidth="1"/>
    <col min="7938" max="7938" width="10.5546875" style="10" customWidth="1"/>
    <col min="7939" max="7939" width="9.6640625" style="10" customWidth="1"/>
    <col min="7940" max="7940" width="11.33203125" style="10" customWidth="1"/>
    <col min="7941" max="7942" width="7" style="10" customWidth="1"/>
    <col min="7943" max="7943" width="6.6640625" style="10" customWidth="1"/>
    <col min="7944" max="7944" width="9.88671875" style="10" customWidth="1"/>
    <col min="7945" max="7945" width="7" style="10" customWidth="1"/>
    <col min="7946" max="7946" width="9.44140625" style="10" customWidth="1"/>
    <col min="7947" max="7948" width="11.5546875" style="10" customWidth="1"/>
    <col min="7949" max="7949" width="13.88671875" style="10" customWidth="1"/>
    <col min="7950" max="7950" width="13.6640625" style="10" customWidth="1"/>
    <col min="7951" max="7953" width="13.44140625" style="10" bestFit="1" customWidth="1"/>
    <col min="7954" max="8192" width="9.109375" style="10"/>
    <col min="8193" max="8193" width="19.109375" style="10" customWidth="1"/>
    <col min="8194" max="8194" width="10.5546875" style="10" customWidth="1"/>
    <col min="8195" max="8195" width="9.6640625" style="10" customWidth="1"/>
    <col min="8196" max="8196" width="11.33203125" style="10" customWidth="1"/>
    <col min="8197" max="8198" width="7" style="10" customWidth="1"/>
    <col min="8199" max="8199" width="6.6640625" style="10" customWidth="1"/>
    <col min="8200" max="8200" width="9.88671875" style="10" customWidth="1"/>
    <col min="8201" max="8201" width="7" style="10" customWidth="1"/>
    <col min="8202" max="8202" width="9.44140625" style="10" customWidth="1"/>
    <col min="8203" max="8204" width="11.5546875" style="10" customWidth="1"/>
    <col min="8205" max="8205" width="13.88671875" style="10" customWidth="1"/>
    <col min="8206" max="8206" width="13.6640625" style="10" customWidth="1"/>
    <col min="8207" max="8209" width="13.44140625" style="10" bestFit="1" customWidth="1"/>
    <col min="8210" max="8448" width="9.109375" style="10"/>
    <col min="8449" max="8449" width="19.109375" style="10" customWidth="1"/>
    <col min="8450" max="8450" width="10.5546875" style="10" customWidth="1"/>
    <col min="8451" max="8451" width="9.6640625" style="10" customWidth="1"/>
    <col min="8452" max="8452" width="11.33203125" style="10" customWidth="1"/>
    <col min="8453" max="8454" width="7" style="10" customWidth="1"/>
    <col min="8455" max="8455" width="6.6640625" style="10" customWidth="1"/>
    <col min="8456" max="8456" width="9.88671875" style="10" customWidth="1"/>
    <col min="8457" max="8457" width="7" style="10" customWidth="1"/>
    <col min="8458" max="8458" width="9.44140625" style="10" customWidth="1"/>
    <col min="8459" max="8460" width="11.5546875" style="10" customWidth="1"/>
    <col min="8461" max="8461" width="13.88671875" style="10" customWidth="1"/>
    <col min="8462" max="8462" width="13.6640625" style="10" customWidth="1"/>
    <col min="8463" max="8465" width="13.44140625" style="10" bestFit="1" customWidth="1"/>
    <col min="8466" max="8704" width="9.109375" style="10"/>
    <col min="8705" max="8705" width="19.109375" style="10" customWidth="1"/>
    <col min="8706" max="8706" width="10.5546875" style="10" customWidth="1"/>
    <col min="8707" max="8707" width="9.6640625" style="10" customWidth="1"/>
    <col min="8708" max="8708" width="11.33203125" style="10" customWidth="1"/>
    <col min="8709" max="8710" width="7" style="10" customWidth="1"/>
    <col min="8711" max="8711" width="6.6640625" style="10" customWidth="1"/>
    <col min="8712" max="8712" width="9.88671875" style="10" customWidth="1"/>
    <col min="8713" max="8713" width="7" style="10" customWidth="1"/>
    <col min="8714" max="8714" width="9.44140625" style="10" customWidth="1"/>
    <col min="8715" max="8716" width="11.5546875" style="10" customWidth="1"/>
    <col min="8717" max="8717" width="13.88671875" style="10" customWidth="1"/>
    <col min="8718" max="8718" width="13.6640625" style="10" customWidth="1"/>
    <col min="8719" max="8721" width="13.44140625" style="10" bestFit="1" customWidth="1"/>
    <col min="8722" max="8960" width="9.109375" style="10"/>
    <col min="8961" max="8961" width="19.109375" style="10" customWidth="1"/>
    <col min="8962" max="8962" width="10.5546875" style="10" customWidth="1"/>
    <col min="8963" max="8963" width="9.6640625" style="10" customWidth="1"/>
    <col min="8964" max="8964" width="11.33203125" style="10" customWidth="1"/>
    <col min="8965" max="8966" width="7" style="10" customWidth="1"/>
    <col min="8967" max="8967" width="6.6640625" style="10" customWidth="1"/>
    <col min="8968" max="8968" width="9.88671875" style="10" customWidth="1"/>
    <col min="8969" max="8969" width="7" style="10" customWidth="1"/>
    <col min="8970" max="8970" width="9.44140625" style="10" customWidth="1"/>
    <col min="8971" max="8972" width="11.5546875" style="10" customWidth="1"/>
    <col min="8973" max="8973" width="13.88671875" style="10" customWidth="1"/>
    <col min="8974" max="8974" width="13.6640625" style="10" customWidth="1"/>
    <col min="8975" max="8977" width="13.44140625" style="10" bestFit="1" customWidth="1"/>
    <col min="8978" max="9216" width="9.109375" style="10"/>
    <col min="9217" max="9217" width="19.109375" style="10" customWidth="1"/>
    <col min="9218" max="9218" width="10.5546875" style="10" customWidth="1"/>
    <col min="9219" max="9219" width="9.6640625" style="10" customWidth="1"/>
    <col min="9220" max="9220" width="11.33203125" style="10" customWidth="1"/>
    <col min="9221" max="9222" width="7" style="10" customWidth="1"/>
    <col min="9223" max="9223" width="6.6640625" style="10" customWidth="1"/>
    <col min="9224" max="9224" width="9.88671875" style="10" customWidth="1"/>
    <col min="9225" max="9225" width="7" style="10" customWidth="1"/>
    <col min="9226" max="9226" width="9.44140625" style="10" customWidth="1"/>
    <col min="9227" max="9228" width="11.5546875" style="10" customWidth="1"/>
    <col min="9229" max="9229" width="13.88671875" style="10" customWidth="1"/>
    <col min="9230" max="9230" width="13.6640625" style="10" customWidth="1"/>
    <col min="9231" max="9233" width="13.44140625" style="10" bestFit="1" customWidth="1"/>
    <col min="9234" max="9472" width="9.109375" style="10"/>
    <col min="9473" max="9473" width="19.109375" style="10" customWidth="1"/>
    <col min="9474" max="9474" width="10.5546875" style="10" customWidth="1"/>
    <col min="9475" max="9475" width="9.6640625" style="10" customWidth="1"/>
    <col min="9476" max="9476" width="11.33203125" style="10" customWidth="1"/>
    <col min="9477" max="9478" width="7" style="10" customWidth="1"/>
    <col min="9479" max="9479" width="6.6640625" style="10" customWidth="1"/>
    <col min="9480" max="9480" width="9.88671875" style="10" customWidth="1"/>
    <col min="9481" max="9481" width="7" style="10" customWidth="1"/>
    <col min="9482" max="9482" width="9.44140625" style="10" customWidth="1"/>
    <col min="9483" max="9484" width="11.5546875" style="10" customWidth="1"/>
    <col min="9485" max="9485" width="13.88671875" style="10" customWidth="1"/>
    <col min="9486" max="9486" width="13.6640625" style="10" customWidth="1"/>
    <col min="9487" max="9489" width="13.44140625" style="10" bestFit="1" customWidth="1"/>
    <col min="9490" max="9728" width="9.109375" style="10"/>
    <col min="9729" max="9729" width="19.109375" style="10" customWidth="1"/>
    <col min="9730" max="9730" width="10.5546875" style="10" customWidth="1"/>
    <col min="9731" max="9731" width="9.6640625" style="10" customWidth="1"/>
    <col min="9732" max="9732" width="11.33203125" style="10" customWidth="1"/>
    <col min="9733" max="9734" width="7" style="10" customWidth="1"/>
    <col min="9735" max="9735" width="6.6640625" style="10" customWidth="1"/>
    <col min="9736" max="9736" width="9.88671875" style="10" customWidth="1"/>
    <col min="9737" max="9737" width="7" style="10" customWidth="1"/>
    <col min="9738" max="9738" width="9.44140625" style="10" customWidth="1"/>
    <col min="9739" max="9740" width="11.5546875" style="10" customWidth="1"/>
    <col min="9741" max="9741" width="13.88671875" style="10" customWidth="1"/>
    <col min="9742" max="9742" width="13.6640625" style="10" customWidth="1"/>
    <col min="9743" max="9745" width="13.44140625" style="10" bestFit="1" customWidth="1"/>
    <col min="9746" max="9984" width="9.109375" style="10"/>
    <col min="9985" max="9985" width="19.109375" style="10" customWidth="1"/>
    <col min="9986" max="9986" width="10.5546875" style="10" customWidth="1"/>
    <col min="9987" max="9987" width="9.6640625" style="10" customWidth="1"/>
    <col min="9988" max="9988" width="11.33203125" style="10" customWidth="1"/>
    <col min="9989" max="9990" width="7" style="10" customWidth="1"/>
    <col min="9991" max="9991" width="6.6640625" style="10" customWidth="1"/>
    <col min="9992" max="9992" width="9.88671875" style="10" customWidth="1"/>
    <col min="9993" max="9993" width="7" style="10" customWidth="1"/>
    <col min="9994" max="9994" width="9.44140625" style="10" customWidth="1"/>
    <col min="9995" max="9996" width="11.5546875" style="10" customWidth="1"/>
    <col min="9997" max="9997" width="13.88671875" style="10" customWidth="1"/>
    <col min="9998" max="9998" width="13.6640625" style="10" customWidth="1"/>
    <col min="9999" max="10001" width="13.44140625" style="10" bestFit="1" customWidth="1"/>
    <col min="10002" max="10240" width="9.109375" style="10"/>
    <col min="10241" max="10241" width="19.109375" style="10" customWidth="1"/>
    <col min="10242" max="10242" width="10.5546875" style="10" customWidth="1"/>
    <col min="10243" max="10243" width="9.6640625" style="10" customWidth="1"/>
    <col min="10244" max="10244" width="11.33203125" style="10" customWidth="1"/>
    <col min="10245" max="10246" width="7" style="10" customWidth="1"/>
    <col min="10247" max="10247" width="6.6640625" style="10" customWidth="1"/>
    <col min="10248" max="10248" width="9.88671875" style="10" customWidth="1"/>
    <col min="10249" max="10249" width="7" style="10" customWidth="1"/>
    <col min="10250" max="10250" width="9.44140625" style="10" customWidth="1"/>
    <col min="10251" max="10252" width="11.5546875" style="10" customWidth="1"/>
    <col min="10253" max="10253" width="13.88671875" style="10" customWidth="1"/>
    <col min="10254" max="10254" width="13.6640625" style="10" customWidth="1"/>
    <col min="10255" max="10257" width="13.44140625" style="10" bestFit="1" customWidth="1"/>
    <col min="10258" max="10496" width="9.109375" style="10"/>
    <col min="10497" max="10497" width="19.109375" style="10" customWidth="1"/>
    <col min="10498" max="10498" width="10.5546875" style="10" customWidth="1"/>
    <col min="10499" max="10499" width="9.6640625" style="10" customWidth="1"/>
    <col min="10500" max="10500" width="11.33203125" style="10" customWidth="1"/>
    <col min="10501" max="10502" width="7" style="10" customWidth="1"/>
    <col min="10503" max="10503" width="6.6640625" style="10" customWidth="1"/>
    <col min="10504" max="10504" width="9.88671875" style="10" customWidth="1"/>
    <col min="10505" max="10505" width="7" style="10" customWidth="1"/>
    <col min="10506" max="10506" width="9.44140625" style="10" customWidth="1"/>
    <col min="10507" max="10508" width="11.5546875" style="10" customWidth="1"/>
    <col min="10509" max="10509" width="13.88671875" style="10" customWidth="1"/>
    <col min="10510" max="10510" width="13.6640625" style="10" customWidth="1"/>
    <col min="10511" max="10513" width="13.44140625" style="10" bestFit="1" customWidth="1"/>
    <col min="10514" max="10752" width="9.109375" style="10"/>
    <col min="10753" max="10753" width="19.109375" style="10" customWidth="1"/>
    <col min="10754" max="10754" width="10.5546875" style="10" customWidth="1"/>
    <col min="10755" max="10755" width="9.6640625" style="10" customWidth="1"/>
    <col min="10756" max="10756" width="11.33203125" style="10" customWidth="1"/>
    <col min="10757" max="10758" width="7" style="10" customWidth="1"/>
    <col min="10759" max="10759" width="6.6640625" style="10" customWidth="1"/>
    <col min="10760" max="10760" width="9.88671875" style="10" customWidth="1"/>
    <col min="10761" max="10761" width="7" style="10" customWidth="1"/>
    <col min="10762" max="10762" width="9.44140625" style="10" customWidth="1"/>
    <col min="10763" max="10764" width="11.5546875" style="10" customWidth="1"/>
    <col min="10765" max="10765" width="13.88671875" style="10" customWidth="1"/>
    <col min="10766" max="10766" width="13.6640625" style="10" customWidth="1"/>
    <col min="10767" max="10769" width="13.44140625" style="10" bestFit="1" customWidth="1"/>
    <col min="10770" max="11008" width="9.109375" style="10"/>
    <col min="11009" max="11009" width="19.109375" style="10" customWidth="1"/>
    <col min="11010" max="11010" width="10.5546875" style="10" customWidth="1"/>
    <col min="11011" max="11011" width="9.6640625" style="10" customWidth="1"/>
    <col min="11012" max="11012" width="11.33203125" style="10" customWidth="1"/>
    <col min="11013" max="11014" width="7" style="10" customWidth="1"/>
    <col min="11015" max="11015" width="6.6640625" style="10" customWidth="1"/>
    <col min="11016" max="11016" width="9.88671875" style="10" customWidth="1"/>
    <col min="11017" max="11017" width="7" style="10" customWidth="1"/>
    <col min="11018" max="11018" width="9.44140625" style="10" customWidth="1"/>
    <col min="11019" max="11020" width="11.5546875" style="10" customWidth="1"/>
    <col min="11021" max="11021" width="13.88671875" style="10" customWidth="1"/>
    <col min="11022" max="11022" width="13.6640625" style="10" customWidth="1"/>
    <col min="11023" max="11025" width="13.44140625" style="10" bestFit="1" customWidth="1"/>
    <col min="11026" max="11264" width="9.109375" style="10"/>
    <col min="11265" max="11265" width="19.109375" style="10" customWidth="1"/>
    <col min="11266" max="11266" width="10.5546875" style="10" customWidth="1"/>
    <col min="11267" max="11267" width="9.6640625" style="10" customWidth="1"/>
    <col min="11268" max="11268" width="11.33203125" style="10" customWidth="1"/>
    <col min="11269" max="11270" width="7" style="10" customWidth="1"/>
    <col min="11271" max="11271" width="6.6640625" style="10" customWidth="1"/>
    <col min="11272" max="11272" width="9.88671875" style="10" customWidth="1"/>
    <col min="11273" max="11273" width="7" style="10" customWidth="1"/>
    <col min="11274" max="11274" width="9.44140625" style="10" customWidth="1"/>
    <col min="11275" max="11276" width="11.5546875" style="10" customWidth="1"/>
    <col min="11277" max="11277" width="13.88671875" style="10" customWidth="1"/>
    <col min="11278" max="11278" width="13.6640625" style="10" customWidth="1"/>
    <col min="11279" max="11281" width="13.44140625" style="10" bestFit="1" customWidth="1"/>
    <col min="11282" max="11520" width="9.109375" style="10"/>
    <col min="11521" max="11521" width="19.109375" style="10" customWidth="1"/>
    <col min="11522" max="11522" width="10.5546875" style="10" customWidth="1"/>
    <col min="11523" max="11523" width="9.6640625" style="10" customWidth="1"/>
    <col min="11524" max="11524" width="11.33203125" style="10" customWidth="1"/>
    <col min="11525" max="11526" width="7" style="10" customWidth="1"/>
    <col min="11527" max="11527" width="6.6640625" style="10" customWidth="1"/>
    <col min="11528" max="11528" width="9.88671875" style="10" customWidth="1"/>
    <col min="11529" max="11529" width="7" style="10" customWidth="1"/>
    <col min="11530" max="11530" width="9.44140625" style="10" customWidth="1"/>
    <col min="11531" max="11532" width="11.5546875" style="10" customWidth="1"/>
    <col min="11533" max="11533" width="13.88671875" style="10" customWidth="1"/>
    <col min="11534" max="11534" width="13.6640625" style="10" customWidth="1"/>
    <col min="11535" max="11537" width="13.44140625" style="10" bestFit="1" customWidth="1"/>
    <col min="11538" max="11776" width="9.109375" style="10"/>
    <col min="11777" max="11777" width="19.109375" style="10" customWidth="1"/>
    <col min="11778" max="11778" width="10.5546875" style="10" customWidth="1"/>
    <col min="11779" max="11779" width="9.6640625" style="10" customWidth="1"/>
    <col min="11780" max="11780" width="11.33203125" style="10" customWidth="1"/>
    <col min="11781" max="11782" width="7" style="10" customWidth="1"/>
    <col min="11783" max="11783" width="6.6640625" style="10" customWidth="1"/>
    <col min="11784" max="11784" width="9.88671875" style="10" customWidth="1"/>
    <col min="11785" max="11785" width="7" style="10" customWidth="1"/>
    <col min="11786" max="11786" width="9.44140625" style="10" customWidth="1"/>
    <col min="11787" max="11788" width="11.5546875" style="10" customWidth="1"/>
    <col min="11789" max="11789" width="13.88671875" style="10" customWidth="1"/>
    <col min="11790" max="11790" width="13.6640625" style="10" customWidth="1"/>
    <col min="11791" max="11793" width="13.44140625" style="10" bestFit="1" customWidth="1"/>
    <col min="11794" max="12032" width="9.109375" style="10"/>
    <col min="12033" max="12033" width="19.109375" style="10" customWidth="1"/>
    <col min="12034" max="12034" width="10.5546875" style="10" customWidth="1"/>
    <col min="12035" max="12035" width="9.6640625" style="10" customWidth="1"/>
    <col min="12036" max="12036" width="11.33203125" style="10" customWidth="1"/>
    <col min="12037" max="12038" width="7" style="10" customWidth="1"/>
    <col min="12039" max="12039" width="6.6640625" style="10" customWidth="1"/>
    <col min="12040" max="12040" width="9.88671875" style="10" customWidth="1"/>
    <col min="12041" max="12041" width="7" style="10" customWidth="1"/>
    <col min="12042" max="12042" width="9.44140625" style="10" customWidth="1"/>
    <col min="12043" max="12044" width="11.5546875" style="10" customWidth="1"/>
    <col min="12045" max="12045" width="13.88671875" style="10" customWidth="1"/>
    <col min="12046" max="12046" width="13.6640625" style="10" customWidth="1"/>
    <col min="12047" max="12049" width="13.44140625" style="10" bestFit="1" customWidth="1"/>
    <col min="12050" max="12288" width="9.109375" style="10"/>
    <col min="12289" max="12289" width="19.109375" style="10" customWidth="1"/>
    <col min="12290" max="12290" width="10.5546875" style="10" customWidth="1"/>
    <col min="12291" max="12291" width="9.6640625" style="10" customWidth="1"/>
    <col min="12292" max="12292" width="11.33203125" style="10" customWidth="1"/>
    <col min="12293" max="12294" width="7" style="10" customWidth="1"/>
    <col min="12295" max="12295" width="6.6640625" style="10" customWidth="1"/>
    <col min="12296" max="12296" width="9.88671875" style="10" customWidth="1"/>
    <col min="12297" max="12297" width="7" style="10" customWidth="1"/>
    <col min="12298" max="12298" width="9.44140625" style="10" customWidth="1"/>
    <col min="12299" max="12300" width="11.5546875" style="10" customWidth="1"/>
    <col min="12301" max="12301" width="13.88671875" style="10" customWidth="1"/>
    <col min="12302" max="12302" width="13.6640625" style="10" customWidth="1"/>
    <col min="12303" max="12305" width="13.44140625" style="10" bestFit="1" customWidth="1"/>
    <col min="12306" max="12544" width="9.109375" style="10"/>
    <col min="12545" max="12545" width="19.109375" style="10" customWidth="1"/>
    <col min="12546" max="12546" width="10.5546875" style="10" customWidth="1"/>
    <col min="12547" max="12547" width="9.6640625" style="10" customWidth="1"/>
    <col min="12548" max="12548" width="11.33203125" style="10" customWidth="1"/>
    <col min="12549" max="12550" width="7" style="10" customWidth="1"/>
    <col min="12551" max="12551" width="6.6640625" style="10" customWidth="1"/>
    <col min="12552" max="12552" width="9.88671875" style="10" customWidth="1"/>
    <col min="12553" max="12553" width="7" style="10" customWidth="1"/>
    <col min="12554" max="12554" width="9.44140625" style="10" customWidth="1"/>
    <col min="12555" max="12556" width="11.5546875" style="10" customWidth="1"/>
    <col min="12557" max="12557" width="13.88671875" style="10" customWidth="1"/>
    <col min="12558" max="12558" width="13.6640625" style="10" customWidth="1"/>
    <col min="12559" max="12561" width="13.44140625" style="10" bestFit="1" customWidth="1"/>
    <col min="12562" max="12800" width="9.109375" style="10"/>
    <col min="12801" max="12801" width="19.109375" style="10" customWidth="1"/>
    <col min="12802" max="12802" width="10.5546875" style="10" customWidth="1"/>
    <col min="12803" max="12803" width="9.6640625" style="10" customWidth="1"/>
    <col min="12804" max="12804" width="11.33203125" style="10" customWidth="1"/>
    <col min="12805" max="12806" width="7" style="10" customWidth="1"/>
    <col min="12807" max="12807" width="6.6640625" style="10" customWidth="1"/>
    <col min="12808" max="12808" width="9.88671875" style="10" customWidth="1"/>
    <col min="12809" max="12809" width="7" style="10" customWidth="1"/>
    <col min="12810" max="12810" width="9.44140625" style="10" customWidth="1"/>
    <col min="12811" max="12812" width="11.5546875" style="10" customWidth="1"/>
    <col min="12813" max="12813" width="13.88671875" style="10" customWidth="1"/>
    <col min="12814" max="12814" width="13.6640625" style="10" customWidth="1"/>
    <col min="12815" max="12817" width="13.44140625" style="10" bestFit="1" customWidth="1"/>
    <col min="12818" max="13056" width="9.109375" style="10"/>
    <col min="13057" max="13057" width="19.109375" style="10" customWidth="1"/>
    <col min="13058" max="13058" width="10.5546875" style="10" customWidth="1"/>
    <col min="13059" max="13059" width="9.6640625" style="10" customWidth="1"/>
    <col min="13060" max="13060" width="11.33203125" style="10" customWidth="1"/>
    <col min="13061" max="13062" width="7" style="10" customWidth="1"/>
    <col min="13063" max="13063" width="6.6640625" style="10" customWidth="1"/>
    <col min="13064" max="13064" width="9.88671875" style="10" customWidth="1"/>
    <col min="13065" max="13065" width="7" style="10" customWidth="1"/>
    <col min="13066" max="13066" width="9.44140625" style="10" customWidth="1"/>
    <col min="13067" max="13068" width="11.5546875" style="10" customWidth="1"/>
    <col min="13069" max="13069" width="13.88671875" style="10" customWidth="1"/>
    <col min="13070" max="13070" width="13.6640625" style="10" customWidth="1"/>
    <col min="13071" max="13073" width="13.44140625" style="10" bestFit="1" customWidth="1"/>
    <col min="13074" max="13312" width="9.109375" style="10"/>
    <col min="13313" max="13313" width="19.109375" style="10" customWidth="1"/>
    <col min="13314" max="13314" width="10.5546875" style="10" customWidth="1"/>
    <col min="13315" max="13315" width="9.6640625" style="10" customWidth="1"/>
    <col min="13316" max="13316" width="11.33203125" style="10" customWidth="1"/>
    <col min="13317" max="13318" width="7" style="10" customWidth="1"/>
    <col min="13319" max="13319" width="6.6640625" style="10" customWidth="1"/>
    <col min="13320" max="13320" width="9.88671875" style="10" customWidth="1"/>
    <col min="13321" max="13321" width="7" style="10" customWidth="1"/>
    <col min="13322" max="13322" width="9.44140625" style="10" customWidth="1"/>
    <col min="13323" max="13324" width="11.5546875" style="10" customWidth="1"/>
    <col min="13325" max="13325" width="13.88671875" style="10" customWidth="1"/>
    <col min="13326" max="13326" width="13.6640625" style="10" customWidth="1"/>
    <col min="13327" max="13329" width="13.44140625" style="10" bestFit="1" customWidth="1"/>
    <col min="13330" max="13568" width="9.109375" style="10"/>
    <col min="13569" max="13569" width="19.109375" style="10" customWidth="1"/>
    <col min="13570" max="13570" width="10.5546875" style="10" customWidth="1"/>
    <col min="13571" max="13571" width="9.6640625" style="10" customWidth="1"/>
    <col min="13572" max="13572" width="11.33203125" style="10" customWidth="1"/>
    <col min="13573" max="13574" width="7" style="10" customWidth="1"/>
    <col min="13575" max="13575" width="6.6640625" style="10" customWidth="1"/>
    <col min="13576" max="13576" width="9.88671875" style="10" customWidth="1"/>
    <col min="13577" max="13577" width="7" style="10" customWidth="1"/>
    <col min="13578" max="13578" width="9.44140625" style="10" customWidth="1"/>
    <col min="13579" max="13580" width="11.5546875" style="10" customWidth="1"/>
    <col min="13581" max="13581" width="13.88671875" style="10" customWidth="1"/>
    <col min="13582" max="13582" width="13.6640625" style="10" customWidth="1"/>
    <col min="13583" max="13585" width="13.44140625" style="10" bestFit="1" customWidth="1"/>
    <col min="13586" max="13824" width="9.109375" style="10"/>
    <col min="13825" max="13825" width="19.109375" style="10" customWidth="1"/>
    <col min="13826" max="13826" width="10.5546875" style="10" customWidth="1"/>
    <col min="13827" max="13827" width="9.6640625" style="10" customWidth="1"/>
    <col min="13828" max="13828" width="11.33203125" style="10" customWidth="1"/>
    <col min="13829" max="13830" width="7" style="10" customWidth="1"/>
    <col min="13831" max="13831" width="6.6640625" style="10" customWidth="1"/>
    <col min="13832" max="13832" width="9.88671875" style="10" customWidth="1"/>
    <col min="13833" max="13833" width="7" style="10" customWidth="1"/>
    <col min="13834" max="13834" width="9.44140625" style="10" customWidth="1"/>
    <col min="13835" max="13836" width="11.5546875" style="10" customWidth="1"/>
    <col min="13837" max="13837" width="13.88671875" style="10" customWidth="1"/>
    <col min="13838" max="13838" width="13.6640625" style="10" customWidth="1"/>
    <col min="13839" max="13841" width="13.44140625" style="10" bestFit="1" customWidth="1"/>
    <col min="13842" max="14080" width="9.109375" style="10"/>
    <col min="14081" max="14081" width="19.109375" style="10" customWidth="1"/>
    <col min="14082" max="14082" width="10.5546875" style="10" customWidth="1"/>
    <col min="14083" max="14083" width="9.6640625" style="10" customWidth="1"/>
    <col min="14084" max="14084" width="11.33203125" style="10" customWidth="1"/>
    <col min="14085" max="14086" width="7" style="10" customWidth="1"/>
    <col min="14087" max="14087" width="6.6640625" style="10" customWidth="1"/>
    <col min="14088" max="14088" width="9.88671875" style="10" customWidth="1"/>
    <col min="14089" max="14089" width="7" style="10" customWidth="1"/>
    <col min="14090" max="14090" width="9.44140625" style="10" customWidth="1"/>
    <col min="14091" max="14092" width="11.5546875" style="10" customWidth="1"/>
    <col min="14093" max="14093" width="13.88671875" style="10" customWidth="1"/>
    <col min="14094" max="14094" width="13.6640625" style="10" customWidth="1"/>
    <col min="14095" max="14097" width="13.44140625" style="10" bestFit="1" customWidth="1"/>
    <col min="14098" max="14336" width="9.109375" style="10"/>
    <col min="14337" max="14337" width="19.109375" style="10" customWidth="1"/>
    <col min="14338" max="14338" width="10.5546875" style="10" customWidth="1"/>
    <col min="14339" max="14339" width="9.6640625" style="10" customWidth="1"/>
    <col min="14340" max="14340" width="11.33203125" style="10" customWidth="1"/>
    <col min="14341" max="14342" width="7" style="10" customWidth="1"/>
    <col min="14343" max="14343" width="6.6640625" style="10" customWidth="1"/>
    <col min="14344" max="14344" width="9.88671875" style="10" customWidth="1"/>
    <col min="14345" max="14345" width="7" style="10" customWidth="1"/>
    <col min="14346" max="14346" width="9.44140625" style="10" customWidth="1"/>
    <col min="14347" max="14348" width="11.5546875" style="10" customWidth="1"/>
    <col min="14349" max="14349" width="13.88671875" style="10" customWidth="1"/>
    <col min="14350" max="14350" width="13.6640625" style="10" customWidth="1"/>
    <col min="14351" max="14353" width="13.44140625" style="10" bestFit="1" customWidth="1"/>
    <col min="14354" max="14592" width="9.109375" style="10"/>
    <col min="14593" max="14593" width="19.109375" style="10" customWidth="1"/>
    <col min="14594" max="14594" width="10.5546875" style="10" customWidth="1"/>
    <col min="14595" max="14595" width="9.6640625" style="10" customWidth="1"/>
    <col min="14596" max="14596" width="11.33203125" style="10" customWidth="1"/>
    <col min="14597" max="14598" width="7" style="10" customWidth="1"/>
    <col min="14599" max="14599" width="6.6640625" style="10" customWidth="1"/>
    <col min="14600" max="14600" width="9.88671875" style="10" customWidth="1"/>
    <col min="14601" max="14601" width="7" style="10" customWidth="1"/>
    <col min="14602" max="14602" width="9.44140625" style="10" customWidth="1"/>
    <col min="14603" max="14604" width="11.5546875" style="10" customWidth="1"/>
    <col min="14605" max="14605" width="13.88671875" style="10" customWidth="1"/>
    <col min="14606" max="14606" width="13.6640625" style="10" customWidth="1"/>
    <col min="14607" max="14609" width="13.44140625" style="10" bestFit="1" customWidth="1"/>
    <col min="14610" max="14848" width="9.109375" style="10"/>
    <col min="14849" max="14849" width="19.109375" style="10" customWidth="1"/>
    <col min="14850" max="14850" width="10.5546875" style="10" customWidth="1"/>
    <col min="14851" max="14851" width="9.6640625" style="10" customWidth="1"/>
    <col min="14852" max="14852" width="11.33203125" style="10" customWidth="1"/>
    <col min="14853" max="14854" width="7" style="10" customWidth="1"/>
    <col min="14855" max="14855" width="6.6640625" style="10" customWidth="1"/>
    <col min="14856" max="14856" width="9.88671875" style="10" customWidth="1"/>
    <col min="14857" max="14857" width="7" style="10" customWidth="1"/>
    <col min="14858" max="14858" width="9.44140625" style="10" customWidth="1"/>
    <col min="14859" max="14860" width="11.5546875" style="10" customWidth="1"/>
    <col min="14861" max="14861" width="13.88671875" style="10" customWidth="1"/>
    <col min="14862" max="14862" width="13.6640625" style="10" customWidth="1"/>
    <col min="14863" max="14865" width="13.44140625" style="10" bestFit="1" customWidth="1"/>
    <col min="14866" max="15104" width="9.109375" style="10"/>
    <col min="15105" max="15105" width="19.109375" style="10" customWidth="1"/>
    <col min="15106" max="15106" width="10.5546875" style="10" customWidth="1"/>
    <col min="15107" max="15107" width="9.6640625" style="10" customWidth="1"/>
    <col min="15108" max="15108" width="11.33203125" style="10" customWidth="1"/>
    <col min="15109" max="15110" width="7" style="10" customWidth="1"/>
    <col min="15111" max="15111" width="6.6640625" style="10" customWidth="1"/>
    <col min="15112" max="15112" width="9.88671875" style="10" customWidth="1"/>
    <col min="15113" max="15113" width="7" style="10" customWidth="1"/>
    <col min="15114" max="15114" width="9.44140625" style="10" customWidth="1"/>
    <col min="15115" max="15116" width="11.5546875" style="10" customWidth="1"/>
    <col min="15117" max="15117" width="13.88671875" style="10" customWidth="1"/>
    <col min="15118" max="15118" width="13.6640625" style="10" customWidth="1"/>
    <col min="15119" max="15121" width="13.44140625" style="10" bestFit="1" customWidth="1"/>
    <col min="15122" max="15360" width="9.109375" style="10"/>
    <col min="15361" max="15361" width="19.109375" style="10" customWidth="1"/>
    <col min="15362" max="15362" width="10.5546875" style="10" customWidth="1"/>
    <col min="15363" max="15363" width="9.6640625" style="10" customWidth="1"/>
    <col min="15364" max="15364" width="11.33203125" style="10" customWidth="1"/>
    <col min="15365" max="15366" width="7" style="10" customWidth="1"/>
    <col min="15367" max="15367" width="6.6640625" style="10" customWidth="1"/>
    <col min="15368" max="15368" width="9.88671875" style="10" customWidth="1"/>
    <col min="15369" max="15369" width="7" style="10" customWidth="1"/>
    <col min="15370" max="15370" width="9.44140625" style="10" customWidth="1"/>
    <col min="15371" max="15372" width="11.5546875" style="10" customWidth="1"/>
    <col min="15373" max="15373" width="13.88671875" style="10" customWidth="1"/>
    <col min="15374" max="15374" width="13.6640625" style="10" customWidth="1"/>
    <col min="15375" max="15377" width="13.44140625" style="10" bestFit="1" customWidth="1"/>
    <col min="15378" max="15616" width="9.109375" style="10"/>
    <col min="15617" max="15617" width="19.109375" style="10" customWidth="1"/>
    <col min="15618" max="15618" width="10.5546875" style="10" customWidth="1"/>
    <col min="15619" max="15619" width="9.6640625" style="10" customWidth="1"/>
    <col min="15620" max="15620" width="11.33203125" style="10" customWidth="1"/>
    <col min="15621" max="15622" width="7" style="10" customWidth="1"/>
    <col min="15623" max="15623" width="6.6640625" style="10" customWidth="1"/>
    <col min="15624" max="15624" width="9.88671875" style="10" customWidth="1"/>
    <col min="15625" max="15625" width="7" style="10" customWidth="1"/>
    <col min="15626" max="15626" width="9.44140625" style="10" customWidth="1"/>
    <col min="15627" max="15628" width="11.5546875" style="10" customWidth="1"/>
    <col min="15629" max="15629" width="13.88671875" style="10" customWidth="1"/>
    <col min="15630" max="15630" width="13.6640625" style="10" customWidth="1"/>
    <col min="15631" max="15633" width="13.44140625" style="10" bestFit="1" customWidth="1"/>
    <col min="15634" max="15872" width="9.109375" style="10"/>
    <col min="15873" max="15873" width="19.109375" style="10" customWidth="1"/>
    <col min="15874" max="15874" width="10.5546875" style="10" customWidth="1"/>
    <col min="15875" max="15875" width="9.6640625" style="10" customWidth="1"/>
    <col min="15876" max="15876" width="11.33203125" style="10" customWidth="1"/>
    <col min="15877" max="15878" width="7" style="10" customWidth="1"/>
    <col min="15879" max="15879" width="6.6640625" style="10" customWidth="1"/>
    <col min="15880" max="15880" width="9.88671875" style="10" customWidth="1"/>
    <col min="15881" max="15881" width="7" style="10" customWidth="1"/>
    <col min="15882" max="15882" width="9.44140625" style="10" customWidth="1"/>
    <col min="15883" max="15884" width="11.5546875" style="10" customWidth="1"/>
    <col min="15885" max="15885" width="13.88671875" style="10" customWidth="1"/>
    <col min="15886" max="15886" width="13.6640625" style="10" customWidth="1"/>
    <col min="15887" max="15889" width="13.44140625" style="10" bestFit="1" customWidth="1"/>
    <col min="15890" max="16128" width="9.109375" style="10"/>
    <col min="16129" max="16129" width="19.109375" style="10" customWidth="1"/>
    <col min="16130" max="16130" width="10.5546875" style="10" customWidth="1"/>
    <col min="16131" max="16131" width="9.6640625" style="10" customWidth="1"/>
    <col min="16132" max="16132" width="11.33203125" style="10" customWidth="1"/>
    <col min="16133" max="16134" width="7" style="10" customWidth="1"/>
    <col min="16135" max="16135" width="6.6640625" style="10" customWidth="1"/>
    <col min="16136" max="16136" width="9.88671875" style="10" customWidth="1"/>
    <col min="16137" max="16137" width="7" style="10" customWidth="1"/>
    <col min="16138" max="16138" width="9.44140625" style="10" customWidth="1"/>
    <col min="16139" max="16140" width="11.5546875" style="10" customWidth="1"/>
    <col min="16141" max="16141" width="13.88671875" style="10" customWidth="1"/>
    <col min="16142" max="16142" width="13.6640625" style="10" customWidth="1"/>
    <col min="16143" max="16145" width="13.44140625" style="10" bestFit="1" customWidth="1"/>
    <col min="16146" max="16384" width="9.109375" style="10"/>
  </cols>
  <sheetData>
    <row r="1" spans="1:17" ht="15.6">
      <c r="Q1" s="93" t="s">
        <v>225</v>
      </c>
    </row>
    <row r="2" spans="1:17" ht="14.25" customHeight="1">
      <c r="Q2" s="94"/>
    </row>
    <row r="3" spans="1:17" ht="15.75" customHeight="1">
      <c r="A3" s="220" t="str">
        <f>'Pg 2 Sum Scheduled'!A3:C3</f>
        <v>X.002-180-2024/1RF</v>
      </c>
      <c r="B3" s="96"/>
      <c r="C3" s="96"/>
      <c r="D3" s="96"/>
      <c r="E3" s="96"/>
      <c r="F3" s="98"/>
      <c r="G3" s="98"/>
      <c r="H3" s="1392">
        <f>'F1  Cover'!L8</f>
        <v>46053</v>
      </c>
      <c r="I3" s="1392"/>
      <c r="J3" s="221"/>
      <c r="K3" s="1356" t="s">
        <v>207</v>
      </c>
      <c r="L3" s="1356"/>
      <c r="M3" s="222"/>
      <c r="N3" s="1341">
        <f>'F1  Cover'!K8</f>
        <v>1</v>
      </c>
      <c r="O3" s="1339"/>
      <c r="P3" s="1339"/>
      <c r="Q3" s="1342"/>
    </row>
    <row r="4" spans="1:17" ht="7.5" customHeight="1" thickBot="1">
      <c r="A4" s="223"/>
      <c r="B4" s="223"/>
      <c r="C4" s="223"/>
      <c r="D4" s="224"/>
      <c r="E4" s="224"/>
      <c r="F4" s="224"/>
      <c r="G4" s="224"/>
      <c r="H4" s="224"/>
      <c r="I4" s="224"/>
      <c r="J4" s="225"/>
      <c r="K4" s="226"/>
      <c r="L4" s="227"/>
      <c r="M4" s="227"/>
      <c r="N4" s="227"/>
      <c r="O4" s="227"/>
      <c r="P4" s="227"/>
      <c r="Q4" s="227"/>
    </row>
    <row r="5" spans="1:17" ht="9.75" customHeight="1">
      <c r="A5" s="228"/>
      <c r="B5" s="229"/>
      <c r="C5" s="229"/>
      <c r="D5" s="230"/>
      <c r="E5" s="230"/>
      <c r="F5" s="230"/>
      <c r="G5" s="230"/>
      <c r="H5" s="230"/>
      <c r="I5" s="230"/>
      <c r="J5" s="231"/>
      <c r="K5" s="232"/>
      <c r="L5" s="233"/>
      <c r="M5" s="233"/>
      <c r="N5" s="233"/>
      <c r="O5" s="233"/>
      <c r="P5" s="233"/>
      <c r="Q5" s="234"/>
    </row>
    <row r="6" spans="1:17" ht="15.75" customHeight="1">
      <c r="A6" s="1390" t="s">
        <v>226</v>
      </c>
      <c r="B6" s="1200"/>
      <c r="C6" s="1200"/>
      <c r="D6" s="1200"/>
      <c r="E6" s="1200"/>
      <c r="F6" s="1200"/>
      <c r="G6" s="1200"/>
      <c r="H6" s="1200"/>
      <c r="I6" s="1200"/>
      <c r="J6" s="1200"/>
      <c r="K6" s="1200"/>
      <c r="L6" s="1200"/>
      <c r="M6" s="1200"/>
      <c r="N6" s="1200"/>
      <c r="O6" s="1200"/>
      <c r="P6" s="1200"/>
      <c r="Q6" s="1391"/>
    </row>
    <row r="7" spans="1:17" ht="6.75" customHeight="1" thickBot="1">
      <c r="A7" s="456"/>
      <c r="B7" s="236"/>
      <c r="C7" s="236"/>
      <c r="D7" s="236"/>
      <c r="E7" s="236"/>
      <c r="F7" s="236"/>
      <c r="G7" s="236"/>
      <c r="H7" s="236"/>
      <c r="I7" s="236"/>
      <c r="J7" s="235"/>
      <c r="K7" s="236"/>
      <c r="L7" s="236"/>
      <c r="M7" s="236"/>
      <c r="N7" s="236"/>
      <c r="O7" s="236"/>
      <c r="P7" s="236"/>
      <c r="Q7" s="457"/>
    </row>
    <row r="8" spans="1:17">
      <c r="A8" s="237" t="s">
        <v>227</v>
      </c>
      <c r="B8" s="1372" t="s">
        <v>228</v>
      </c>
      <c r="C8" s="1373"/>
      <c r="D8" s="1372" t="s">
        <v>229</v>
      </c>
      <c r="E8" s="1373"/>
      <c r="F8" s="1374" t="s">
        <v>3</v>
      </c>
      <c r="G8" s="1374"/>
      <c r="H8" s="1374"/>
      <c r="I8" s="1374"/>
      <c r="J8" s="1374"/>
      <c r="K8" s="238" t="s">
        <v>230</v>
      </c>
      <c r="L8" s="458" t="s">
        <v>231</v>
      </c>
      <c r="M8" s="1369"/>
      <c r="N8" s="1369"/>
      <c r="O8" s="1369"/>
      <c r="P8" s="1370" t="s">
        <v>232</v>
      </c>
      <c r="Q8" s="1371"/>
    </row>
    <row r="9" spans="1:17" s="249" customFormat="1" ht="27" thickBot="1">
      <c r="A9" s="239"/>
      <c r="B9" s="240" t="s">
        <v>233</v>
      </c>
      <c r="C9" s="241" t="s">
        <v>234</v>
      </c>
      <c r="D9" s="241" t="s">
        <v>235</v>
      </c>
      <c r="E9" s="241" t="s">
        <v>236</v>
      </c>
      <c r="F9" s="242" t="s">
        <v>230</v>
      </c>
      <c r="G9" s="242"/>
      <c r="H9" s="242"/>
      <c r="I9" s="242"/>
      <c r="J9" s="243" t="s">
        <v>237</v>
      </c>
      <c r="K9" s="244" t="s">
        <v>238</v>
      </c>
      <c r="L9" s="245"/>
      <c r="M9" s="246" t="s">
        <v>230</v>
      </c>
      <c r="N9" s="246" t="s">
        <v>239</v>
      </c>
      <c r="O9" s="247" t="s">
        <v>231</v>
      </c>
      <c r="P9" s="247" t="s">
        <v>230</v>
      </c>
      <c r="Q9" s="248" t="s">
        <v>231</v>
      </c>
    </row>
    <row r="10" spans="1:17" ht="13.8">
      <c r="A10" s="250"/>
      <c r="B10" s="251"/>
      <c r="C10" s="252"/>
      <c r="D10" s="252"/>
      <c r="E10" s="253"/>
      <c r="F10" s="253"/>
      <c r="G10" s="254" t="s">
        <v>240</v>
      </c>
      <c r="H10" s="254" t="s">
        <v>241</v>
      </c>
      <c r="I10" s="254" t="s">
        <v>242</v>
      </c>
      <c r="J10" s="255"/>
      <c r="K10" s="256"/>
      <c r="L10" s="257"/>
      <c r="M10" s="1384" t="s">
        <v>213</v>
      </c>
      <c r="N10" s="1385"/>
      <c r="O10" s="1386"/>
      <c r="P10" s="258"/>
      <c r="Q10" s="259"/>
    </row>
    <row r="11" spans="1:17" ht="12.75" customHeight="1">
      <c r="A11" s="260"/>
      <c r="B11" s="261"/>
      <c r="C11" s="261"/>
      <c r="D11" s="521"/>
      <c r="E11" s="262"/>
      <c r="F11" s="178">
        <f>'TENDERER INPUT DATA'!$D$43</f>
        <v>3000</v>
      </c>
      <c r="G11" s="522"/>
      <c r="H11" s="522"/>
      <c r="I11" s="522"/>
      <c r="J11" s="270">
        <f>IF(F11='TENDERER INPUT DATA'!$D$43,(1/100*(G11+(H11*I11))),(1/100*(G11+(H11*I11))*'TENDERER INPUT DATA'!$D$44))</f>
        <v>0</v>
      </c>
      <c r="K11" s="263"/>
      <c r="L11" s="264">
        <f>ROUND(J11*K11,2)</f>
        <v>0</v>
      </c>
      <c r="M11" s="532"/>
      <c r="N11" s="264">
        <f>+M11</f>
        <v>0</v>
      </c>
      <c r="O11" s="265">
        <f t="shared" ref="O11:O36" si="0">N11*J11</f>
        <v>0</v>
      </c>
      <c r="P11" s="265">
        <f t="shared" ref="P11:Q36" si="1">K11+N11</f>
        <v>0</v>
      </c>
      <c r="Q11" s="530">
        <f t="shared" si="1"/>
        <v>0</v>
      </c>
    </row>
    <row r="12" spans="1:17" ht="12.75" customHeight="1">
      <c r="A12" s="260"/>
      <c r="B12" s="261"/>
      <c r="C12" s="261"/>
      <c r="D12" s="521"/>
      <c r="E12" s="262"/>
      <c r="F12" s="178" t="str">
        <f>"&gt; " &amp; 'TENDERER INPUT DATA'!$D$43</f>
        <v>&gt; 3000</v>
      </c>
      <c r="G12" s="522"/>
      <c r="H12" s="522"/>
      <c r="I12" s="522"/>
      <c r="J12" s="270">
        <f>IF(F12='TENDERER INPUT DATA'!$D$43,(1/100*(G12+(H12*I12))),(1/100*(G12+(H12*I12))*'TENDERER INPUT DATA'!$D$44))</f>
        <v>0</v>
      </c>
      <c r="K12" s="266"/>
      <c r="L12" s="264">
        <f>ROUND(J12*K12,2)</f>
        <v>0</v>
      </c>
      <c r="M12" s="533"/>
      <c r="N12" s="264">
        <f t="shared" ref="N12:N36" si="2">+M12</f>
        <v>0</v>
      </c>
      <c r="O12" s="265">
        <f t="shared" si="0"/>
        <v>0</v>
      </c>
      <c r="P12" s="265">
        <f t="shared" si="1"/>
        <v>0</v>
      </c>
      <c r="Q12" s="530">
        <f t="shared" si="1"/>
        <v>0</v>
      </c>
    </row>
    <row r="13" spans="1:17" ht="12.75" customHeight="1">
      <c r="A13" s="260"/>
      <c r="B13" s="261"/>
      <c r="C13" s="261"/>
      <c r="D13" s="521"/>
      <c r="E13" s="262"/>
      <c r="F13" s="178">
        <f>'TENDERER INPUT DATA'!$D$43</f>
        <v>3000</v>
      </c>
      <c r="G13" s="522"/>
      <c r="H13" s="522"/>
      <c r="I13" s="522"/>
      <c r="J13" s="270">
        <f>IF(F13='TENDERER INPUT DATA'!$D$43,(1/100*(G13+(H13*I13))),(1/100*(G13+(H13*I13))*'TENDERER INPUT DATA'!$D$44))</f>
        <v>0</v>
      </c>
      <c r="K13" s="266"/>
      <c r="L13" s="264">
        <f>ROUND(J13*K13,2)</f>
        <v>0</v>
      </c>
      <c r="M13" s="533"/>
      <c r="N13" s="264">
        <f t="shared" si="2"/>
        <v>0</v>
      </c>
      <c r="O13" s="265">
        <f t="shared" si="0"/>
        <v>0</v>
      </c>
      <c r="P13" s="265">
        <f t="shared" si="1"/>
        <v>0</v>
      </c>
      <c r="Q13" s="530">
        <f t="shared" si="1"/>
        <v>0</v>
      </c>
    </row>
    <row r="14" spans="1:17" ht="12.75" customHeight="1">
      <c r="A14" s="260"/>
      <c r="B14" s="261"/>
      <c r="C14" s="261"/>
      <c r="D14" s="521"/>
      <c r="E14" s="262"/>
      <c r="F14" s="178" t="str">
        <f>"&gt; " &amp; 'TENDERER INPUT DATA'!$D$43</f>
        <v>&gt; 3000</v>
      </c>
      <c r="G14" s="522"/>
      <c r="H14" s="522"/>
      <c r="I14" s="522"/>
      <c r="J14" s="270">
        <f>IF(F14='TENDERER INPUT DATA'!$D$43,(1/100*(G14+(H14*I14))),(1/100*(G14+(H14*I14))*'TENDERER INPUT DATA'!$D$44))</f>
        <v>0</v>
      </c>
      <c r="K14" s="266"/>
      <c r="L14" s="264">
        <f>ROUND(J14*K14,2)</f>
        <v>0</v>
      </c>
      <c r="M14" s="533"/>
      <c r="N14" s="264">
        <f t="shared" si="2"/>
        <v>0</v>
      </c>
      <c r="O14" s="265">
        <f t="shared" si="0"/>
        <v>0</v>
      </c>
      <c r="P14" s="265">
        <f t="shared" si="1"/>
        <v>0</v>
      </c>
      <c r="Q14" s="530">
        <f t="shared" si="1"/>
        <v>0</v>
      </c>
    </row>
    <row r="15" spans="1:17" ht="12.75" customHeight="1">
      <c r="A15" s="260"/>
      <c r="B15" s="261"/>
      <c r="C15" s="261"/>
      <c r="D15" s="521"/>
      <c r="E15" s="262"/>
      <c r="F15" s="178">
        <f>'TENDERER INPUT DATA'!$D$43</f>
        <v>3000</v>
      </c>
      <c r="G15" s="522"/>
      <c r="H15" s="522"/>
      <c r="I15" s="522"/>
      <c r="J15" s="270">
        <f>IF(F15='TENDERER INPUT DATA'!$D$43,(1/100*(G15+(H15*I15))),(1/100*(G15+(H15*I15))*'TENDERER INPUT DATA'!$D$44))</f>
        <v>0</v>
      </c>
      <c r="K15" s="266"/>
      <c r="L15" s="264">
        <f>ROUND(J15*K15,2)</f>
        <v>0</v>
      </c>
      <c r="M15" s="533"/>
      <c r="N15" s="264">
        <f t="shared" si="2"/>
        <v>0</v>
      </c>
      <c r="O15" s="265">
        <f t="shared" si="0"/>
        <v>0</v>
      </c>
      <c r="P15" s="265">
        <f t="shared" si="1"/>
        <v>0</v>
      </c>
      <c r="Q15" s="530">
        <f t="shared" si="1"/>
        <v>0</v>
      </c>
    </row>
    <row r="16" spans="1:17" ht="12.75" customHeight="1">
      <c r="A16" s="260"/>
      <c r="B16" s="261"/>
      <c r="C16" s="261"/>
      <c r="D16" s="521"/>
      <c r="E16" s="262"/>
      <c r="F16" s="178" t="str">
        <f>"&gt; " &amp; 'TENDERER INPUT DATA'!$D$43</f>
        <v>&gt; 3000</v>
      </c>
      <c r="G16" s="522"/>
      <c r="H16" s="522"/>
      <c r="I16" s="522"/>
      <c r="J16" s="270">
        <f>IF(F16='TENDERER INPUT DATA'!$D$43,(1/100*(G16+(H16*I16))),(1/100*(G16+(H16*I16))*'TENDERER INPUT DATA'!$D$44))</f>
        <v>0</v>
      </c>
      <c r="K16" s="266"/>
      <c r="L16" s="264">
        <f t="shared" ref="L16:L36" si="3">ROUND(J16*K16,2)</f>
        <v>0</v>
      </c>
      <c r="M16" s="533"/>
      <c r="N16" s="264">
        <f t="shared" si="2"/>
        <v>0</v>
      </c>
      <c r="O16" s="265">
        <f t="shared" si="0"/>
        <v>0</v>
      </c>
      <c r="P16" s="265">
        <f t="shared" si="1"/>
        <v>0</v>
      </c>
      <c r="Q16" s="530">
        <f t="shared" si="1"/>
        <v>0</v>
      </c>
    </row>
    <row r="17" spans="1:17" ht="12.75" customHeight="1">
      <c r="A17" s="260"/>
      <c r="B17" s="261"/>
      <c r="C17" s="261"/>
      <c r="D17" s="521"/>
      <c r="E17" s="262"/>
      <c r="F17" s="178">
        <f>'TENDERER INPUT DATA'!$D$43</f>
        <v>3000</v>
      </c>
      <c r="G17" s="522"/>
      <c r="H17" s="522"/>
      <c r="I17" s="522"/>
      <c r="J17" s="270">
        <f>IF(F17='TENDERER INPUT DATA'!$D$43,(1/100*(G17+(H17*I17))),(1/100*(G17+(H17*I17))*'TENDERER INPUT DATA'!$D$44))</f>
        <v>0</v>
      </c>
      <c r="K17" s="266"/>
      <c r="L17" s="264">
        <f t="shared" si="3"/>
        <v>0</v>
      </c>
      <c r="M17" s="533"/>
      <c r="N17" s="264">
        <f t="shared" si="2"/>
        <v>0</v>
      </c>
      <c r="O17" s="265">
        <f t="shared" si="0"/>
        <v>0</v>
      </c>
      <c r="P17" s="265">
        <f t="shared" si="1"/>
        <v>0</v>
      </c>
      <c r="Q17" s="530">
        <f t="shared" si="1"/>
        <v>0</v>
      </c>
    </row>
    <row r="18" spans="1:17" ht="12.75" customHeight="1">
      <c r="A18" s="260"/>
      <c r="B18" s="261"/>
      <c r="C18" s="261"/>
      <c r="D18" s="521"/>
      <c r="E18" s="262"/>
      <c r="F18" s="178" t="str">
        <f>"&gt; " &amp; 'TENDERER INPUT DATA'!$D$43</f>
        <v>&gt; 3000</v>
      </c>
      <c r="G18" s="522"/>
      <c r="H18" s="522"/>
      <c r="I18" s="522"/>
      <c r="J18" s="270">
        <f>IF(F18='TENDERER INPUT DATA'!$D$43,(1/100*(G18+(H18*I18))),(1/100*(G18+(H18*I18))*'TENDERER INPUT DATA'!$D$44))</f>
        <v>0</v>
      </c>
      <c r="K18" s="266"/>
      <c r="L18" s="264">
        <f t="shared" si="3"/>
        <v>0</v>
      </c>
      <c r="M18" s="533"/>
      <c r="N18" s="264">
        <f t="shared" si="2"/>
        <v>0</v>
      </c>
      <c r="O18" s="265">
        <f t="shared" si="0"/>
        <v>0</v>
      </c>
      <c r="P18" s="265">
        <f t="shared" si="1"/>
        <v>0</v>
      </c>
      <c r="Q18" s="530">
        <f t="shared" si="1"/>
        <v>0</v>
      </c>
    </row>
    <row r="19" spans="1:17" ht="12.75" customHeight="1">
      <c r="A19" s="260"/>
      <c r="B19" s="261"/>
      <c r="C19" s="261"/>
      <c r="D19" s="521"/>
      <c r="E19" s="262"/>
      <c r="F19" s="178">
        <f>'TENDERER INPUT DATA'!$D$43</f>
        <v>3000</v>
      </c>
      <c r="G19" s="522"/>
      <c r="H19" s="522"/>
      <c r="I19" s="522"/>
      <c r="J19" s="270">
        <f>IF(F19='TENDERER INPUT DATA'!$D$43,(1/100*(G19+(H19*I19))),(1/100*(G19+(H19*I19))*'TENDERER INPUT DATA'!$D$44))</f>
        <v>0</v>
      </c>
      <c r="K19" s="266"/>
      <c r="L19" s="264">
        <f t="shared" si="3"/>
        <v>0</v>
      </c>
      <c r="M19" s="533"/>
      <c r="N19" s="264">
        <f t="shared" si="2"/>
        <v>0</v>
      </c>
      <c r="O19" s="265">
        <f t="shared" si="0"/>
        <v>0</v>
      </c>
      <c r="P19" s="265">
        <f t="shared" si="1"/>
        <v>0</v>
      </c>
      <c r="Q19" s="530">
        <f t="shared" si="1"/>
        <v>0</v>
      </c>
    </row>
    <row r="20" spans="1:17" ht="12.75" customHeight="1">
      <c r="A20" s="260"/>
      <c r="B20" s="261"/>
      <c r="C20" s="261"/>
      <c r="D20" s="521"/>
      <c r="E20" s="262"/>
      <c r="F20" s="178" t="str">
        <f>"&gt; " &amp; 'TENDERER INPUT DATA'!$D$43</f>
        <v>&gt; 3000</v>
      </c>
      <c r="G20" s="522"/>
      <c r="H20" s="522"/>
      <c r="I20" s="522"/>
      <c r="J20" s="270">
        <f>IF(F20='TENDERER INPUT DATA'!$D$43,(1/100*(G20+(H20*I20))),(1/100*(G20+(H20*I20))*'TENDERER INPUT DATA'!$D$44))</f>
        <v>0</v>
      </c>
      <c r="K20" s="266"/>
      <c r="L20" s="264">
        <f t="shared" si="3"/>
        <v>0</v>
      </c>
      <c r="M20" s="533"/>
      <c r="N20" s="264">
        <f t="shared" si="2"/>
        <v>0</v>
      </c>
      <c r="O20" s="265">
        <f t="shared" si="0"/>
        <v>0</v>
      </c>
      <c r="P20" s="265">
        <f t="shared" si="1"/>
        <v>0</v>
      </c>
      <c r="Q20" s="530">
        <f t="shared" si="1"/>
        <v>0</v>
      </c>
    </row>
    <row r="21" spans="1:17" ht="12.75" customHeight="1">
      <c r="A21" s="260"/>
      <c r="B21" s="261"/>
      <c r="C21" s="261"/>
      <c r="D21" s="521"/>
      <c r="E21" s="262"/>
      <c r="F21" s="178">
        <f>'TENDERER INPUT DATA'!$D$43</f>
        <v>3000</v>
      </c>
      <c r="G21" s="522"/>
      <c r="H21" s="522"/>
      <c r="I21" s="522"/>
      <c r="J21" s="270">
        <f>IF(F21='TENDERER INPUT DATA'!$D$43,(1/100*(G21+(H21*I21))),(1/100*(G21+(H21*I21))*'TENDERER INPUT DATA'!$D$44))</f>
        <v>0</v>
      </c>
      <c r="K21" s="266"/>
      <c r="L21" s="264">
        <f t="shared" si="3"/>
        <v>0</v>
      </c>
      <c r="M21" s="533"/>
      <c r="N21" s="264">
        <f t="shared" si="2"/>
        <v>0</v>
      </c>
      <c r="O21" s="265">
        <f t="shared" si="0"/>
        <v>0</v>
      </c>
      <c r="P21" s="265">
        <f t="shared" si="1"/>
        <v>0</v>
      </c>
      <c r="Q21" s="530">
        <f t="shared" si="1"/>
        <v>0</v>
      </c>
    </row>
    <row r="22" spans="1:17" ht="12.75" customHeight="1">
      <c r="A22" s="260"/>
      <c r="B22" s="261"/>
      <c r="C22" s="261"/>
      <c r="D22" s="521"/>
      <c r="E22" s="262"/>
      <c r="F22" s="178" t="str">
        <f>"&gt; " &amp; 'TENDERER INPUT DATA'!$D$43</f>
        <v>&gt; 3000</v>
      </c>
      <c r="G22" s="522"/>
      <c r="H22" s="522"/>
      <c r="I22" s="522"/>
      <c r="J22" s="270">
        <f>IF(F22='TENDERER INPUT DATA'!$D$43,(1/100*(G22+(H22*I22))),(1/100*(G22+(H22*I22))*'TENDERER INPUT DATA'!$D$44))</f>
        <v>0</v>
      </c>
      <c r="K22" s="266"/>
      <c r="L22" s="264">
        <f t="shared" si="3"/>
        <v>0</v>
      </c>
      <c r="M22" s="533"/>
      <c r="N22" s="264">
        <f t="shared" si="2"/>
        <v>0</v>
      </c>
      <c r="O22" s="265">
        <f t="shared" si="0"/>
        <v>0</v>
      </c>
      <c r="P22" s="265">
        <f t="shared" si="1"/>
        <v>0</v>
      </c>
      <c r="Q22" s="530">
        <f t="shared" si="1"/>
        <v>0</v>
      </c>
    </row>
    <row r="23" spans="1:17" ht="12.75" customHeight="1">
      <c r="A23" s="260"/>
      <c r="B23" s="261"/>
      <c r="C23" s="261"/>
      <c r="D23" s="521"/>
      <c r="E23" s="262"/>
      <c r="F23" s="178">
        <f>'TENDERER INPUT DATA'!$D$43</f>
        <v>3000</v>
      </c>
      <c r="G23" s="522"/>
      <c r="H23" s="522"/>
      <c r="I23" s="522"/>
      <c r="J23" s="270">
        <f>IF(F23='TENDERER INPUT DATA'!$D$43,(1/100*(G23+(H23*I23))),(1/100*(G23+(H23*I23))*'TENDERER INPUT DATA'!$D$44))</f>
        <v>0</v>
      </c>
      <c r="K23" s="266"/>
      <c r="L23" s="264">
        <f t="shared" ref="L23:L30" si="4">ROUND(J23*K23,2)</f>
        <v>0</v>
      </c>
      <c r="M23" s="533"/>
      <c r="N23" s="264">
        <f t="shared" ref="N23:N30" si="5">+M23</f>
        <v>0</v>
      </c>
      <c r="O23" s="265">
        <f t="shared" ref="O23:O30" si="6">N23*J23</f>
        <v>0</v>
      </c>
      <c r="P23" s="265">
        <f t="shared" ref="P23:P30" si="7">K23+N23</f>
        <v>0</v>
      </c>
      <c r="Q23" s="530">
        <f t="shared" ref="Q23:Q30" si="8">L23+O23</f>
        <v>0</v>
      </c>
    </row>
    <row r="24" spans="1:17" ht="12.75" customHeight="1">
      <c r="A24" s="260"/>
      <c r="B24" s="261"/>
      <c r="C24" s="261"/>
      <c r="D24" s="521"/>
      <c r="E24" s="262"/>
      <c r="F24" s="178" t="str">
        <f>"&gt; " &amp; 'TENDERER INPUT DATA'!$D$43</f>
        <v>&gt; 3000</v>
      </c>
      <c r="G24" s="522"/>
      <c r="H24" s="522"/>
      <c r="I24" s="522"/>
      <c r="J24" s="270">
        <f>IF(F24='TENDERER INPUT DATA'!$D$43,(1/100*(G24+(H24*I24))),(1/100*(G24+(H24*I24))*'TENDERER INPUT DATA'!$D$44))</f>
        <v>0</v>
      </c>
      <c r="K24" s="266"/>
      <c r="L24" s="264">
        <f t="shared" si="4"/>
        <v>0</v>
      </c>
      <c r="M24" s="533"/>
      <c r="N24" s="264">
        <f t="shared" si="5"/>
        <v>0</v>
      </c>
      <c r="O24" s="265">
        <f t="shared" si="6"/>
        <v>0</v>
      </c>
      <c r="P24" s="265">
        <f t="shared" si="7"/>
        <v>0</v>
      </c>
      <c r="Q24" s="530">
        <f t="shared" si="8"/>
        <v>0</v>
      </c>
    </row>
    <row r="25" spans="1:17" ht="12.75" customHeight="1">
      <c r="A25" s="260"/>
      <c r="B25" s="261"/>
      <c r="C25" s="261"/>
      <c r="D25" s="521"/>
      <c r="E25" s="262"/>
      <c r="F25" s="178">
        <f>'TENDERER INPUT DATA'!$D$43</f>
        <v>3000</v>
      </c>
      <c r="G25" s="522"/>
      <c r="H25" s="522"/>
      <c r="I25" s="522"/>
      <c r="J25" s="270">
        <f>IF(F25='TENDERER INPUT DATA'!$D$43,(1/100*(G25+(H25*I25))),(1/100*(G25+(H25*I25))*'TENDERER INPUT DATA'!$D$44))</f>
        <v>0</v>
      </c>
      <c r="K25" s="266"/>
      <c r="L25" s="264">
        <f t="shared" si="4"/>
        <v>0</v>
      </c>
      <c r="M25" s="533"/>
      <c r="N25" s="264">
        <f t="shared" si="5"/>
        <v>0</v>
      </c>
      <c r="O25" s="265">
        <f t="shared" si="6"/>
        <v>0</v>
      </c>
      <c r="P25" s="265">
        <f t="shared" si="7"/>
        <v>0</v>
      </c>
      <c r="Q25" s="530">
        <f t="shared" si="8"/>
        <v>0</v>
      </c>
    </row>
    <row r="26" spans="1:17" ht="12.75" customHeight="1">
      <c r="A26" s="260"/>
      <c r="B26" s="261"/>
      <c r="C26" s="261"/>
      <c r="D26" s="521"/>
      <c r="E26" s="262"/>
      <c r="F26" s="178" t="str">
        <f>"&gt; " &amp; 'TENDERER INPUT DATA'!$D$43</f>
        <v>&gt; 3000</v>
      </c>
      <c r="G26" s="522"/>
      <c r="H26" s="522"/>
      <c r="I26" s="522"/>
      <c r="J26" s="270">
        <f>IF(F26='TENDERER INPUT DATA'!$D$43,(1/100*(G26+(H26*I26))),(1/100*(G26+(H26*I26))*'TENDERER INPUT DATA'!$D$44))</f>
        <v>0</v>
      </c>
      <c r="K26" s="266"/>
      <c r="L26" s="264">
        <f t="shared" si="4"/>
        <v>0</v>
      </c>
      <c r="M26" s="533"/>
      <c r="N26" s="264">
        <f t="shared" si="5"/>
        <v>0</v>
      </c>
      <c r="O26" s="265">
        <f t="shared" si="6"/>
        <v>0</v>
      </c>
      <c r="P26" s="265">
        <f t="shared" si="7"/>
        <v>0</v>
      </c>
      <c r="Q26" s="530">
        <f t="shared" si="8"/>
        <v>0</v>
      </c>
    </row>
    <row r="27" spans="1:17" ht="12.75" customHeight="1">
      <c r="A27" s="260"/>
      <c r="B27" s="261"/>
      <c r="C27" s="261"/>
      <c r="D27" s="521"/>
      <c r="E27" s="262"/>
      <c r="F27" s="178">
        <f>'TENDERER INPUT DATA'!$D$43</f>
        <v>3000</v>
      </c>
      <c r="G27" s="522"/>
      <c r="H27" s="522"/>
      <c r="I27" s="522"/>
      <c r="J27" s="270">
        <f>IF(F27='TENDERER INPUT DATA'!$D$43,(1/100*(G27+(H27*I27))),(1/100*(G27+(H27*I27))*'TENDERER INPUT DATA'!$D$44))</f>
        <v>0</v>
      </c>
      <c r="K27" s="266"/>
      <c r="L27" s="264">
        <f t="shared" si="4"/>
        <v>0</v>
      </c>
      <c r="M27" s="533"/>
      <c r="N27" s="264">
        <f t="shared" si="5"/>
        <v>0</v>
      </c>
      <c r="O27" s="265">
        <f t="shared" si="6"/>
        <v>0</v>
      </c>
      <c r="P27" s="265">
        <f t="shared" si="7"/>
        <v>0</v>
      </c>
      <c r="Q27" s="530">
        <f t="shared" si="8"/>
        <v>0</v>
      </c>
    </row>
    <row r="28" spans="1:17" ht="12.75" customHeight="1">
      <c r="A28" s="260"/>
      <c r="B28" s="261"/>
      <c r="C28" s="261"/>
      <c r="D28" s="521"/>
      <c r="E28" s="262"/>
      <c r="F28" s="178" t="str">
        <f>"&gt; " &amp; 'TENDERER INPUT DATA'!$D$43</f>
        <v>&gt; 3000</v>
      </c>
      <c r="G28" s="522"/>
      <c r="H28" s="522"/>
      <c r="I28" s="522"/>
      <c r="J28" s="270">
        <f>IF(F28='TENDERER INPUT DATA'!$D$43,(1/100*(G28+(H28*I28))),(1/100*(G28+(H28*I28))*'TENDERER INPUT DATA'!$D$44))</f>
        <v>0</v>
      </c>
      <c r="K28" s="266"/>
      <c r="L28" s="264">
        <f t="shared" si="4"/>
        <v>0</v>
      </c>
      <c r="M28" s="533"/>
      <c r="N28" s="264">
        <f t="shared" si="5"/>
        <v>0</v>
      </c>
      <c r="O28" s="265">
        <f t="shared" si="6"/>
        <v>0</v>
      </c>
      <c r="P28" s="265">
        <f t="shared" si="7"/>
        <v>0</v>
      </c>
      <c r="Q28" s="530">
        <f t="shared" si="8"/>
        <v>0</v>
      </c>
    </row>
    <row r="29" spans="1:17" ht="12.75" customHeight="1">
      <c r="A29" s="260"/>
      <c r="B29" s="261"/>
      <c r="C29" s="261"/>
      <c r="D29" s="521"/>
      <c r="E29" s="262"/>
      <c r="F29" s="178">
        <f>'TENDERER INPUT DATA'!$D$43</f>
        <v>3000</v>
      </c>
      <c r="G29" s="522"/>
      <c r="H29" s="522"/>
      <c r="I29" s="522"/>
      <c r="J29" s="270">
        <f>IF(F29='TENDERER INPUT DATA'!$D$43,(1/100*(G29+(H29*I29))),(1/100*(G29+(H29*I29))*'TENDERER INPUT DATA'!$D$44))</f>
        <v>0</v>
      </c>
      <c r="K29" s="266"/>
      <c r="L29" s="264">
        <f t="shared" si="4"/>
        <v>0</v>
      </c>
      <c r="M29" s="533"/>
      <c r="N29" s="264">
        <f t="shared" si="5"/>
        <v>0</v>
      </c>
      <c r="O29" s="265">
        <f t="shared" si="6"/>
        <v>0</v>
      </c>
      <c r="P29" s="265">
        <f t="shared" si="7"/>
        <v>0</v>
      </c>
      <c r="Q29" s="530">
        <f t="shared" si="8"/>
        <v>0</v>
      </c>
    </row>
    <row r="30" spans="1:17" ht="12.75" customHeight="1">
      <c r="A30" s="260"/>
      <c r="B30" s="261"/>
      <c r="C30" s="261"/>
      <c r="D30" s="521"/>
      <c r="E30" s="262"/>
      <c r="F30" s="178" t="str">
        <f>"&gt; " &amp; 'TENDERER INPUT DATA'!$D$43</f>
        <v>&gt; 3000</v>
      </c>
      <c r="G30" s="522"/>
      <c r="H30" s="522"/>
      <c r="I30" s="522"/>
      <c r="J30" s="270">
        <f>IF(F30='TENDERER INPUT DATA'!$D$43,(1/100*(G30+(H30*I30))),(1/100*(G30+(H30*I30))*'TENDERER INPUT DATA'!$D$44))</f>
        <v>0</v>
      </c>
      <c r="K30" s="266"/>
      <c r="L30" s="264">
        <f t="shared" si="4"/>
        <v>0</v>
      </c>
      <c r="M30" s="533"/>
      <c r="N30" s="264">
        <f t="shared" si="5"/>
        <v>0</v>
      </c>
      <c r="O30" s="265">
        <f t="shared" si="6"/>
        <v>0</v>
      </c>
      <c r="P30" s="265">
        <f t="shared" si="7"/>
        <v>0</v>
      </c>
      <c r="Q30" s="530">
        <f t="shared" si="8"/>
        <v>0</v>
      </c>
    </row>
    <row r="31" spans="1:17" ht="12.75" customHeight="1">
      <c r="A31" s="260"/>
      <c r="B31" s="261"/>
      <c r="C31" s="261"/>
      <c r="D31" s="521"/>
      <c r="E31" s="262"/>
      <c r="F31" s="178">
        <f>'TENDERER INPUT DATA'!$D$43</f>
        <v>3000</v>
      </c>
      <c r="G31" s="522"/>
      <c r="H31" s="522"/>
      <c r="I31" s="522"/>
      <c r="J31" s="270">
        <f>IF(F31='TENDERER INPUT DATA'!$D$43,(1/100*(G31+(H31*I31))),(1/100*(G31+(H31*I31))*'TENDERER INPUT DATA'!$D$44))</f>
        <v>0</v>
      </c>
      <c r="K31" s="266"/>
      <c r="L31" s="264">
        <f t="shared" si="3"/>
        <v>0</v>
      </c>
      <c r="M31" s="533"/>
      <c r="N31" s="264">
        <f t="shared" si="2"/>
        <v>0</v>
      </c>
      <c r="O31" s="265">
        <f t="shared" si="0"/>
        <v>0</v>
      </c>
      <c r="P31" s="265">
        <f t="shared" si="1"/>
        <v>0</v>
      </c>
      <c r="Q31" s="530">
        <f t="shared" si="1"/>
        <v>0</v>
      </c>
    </row>
    <row r="32" spans="1:17" ht="12.75" customHeight="1">
      <c r="A32" s="260"/>
      <c r="B32" s="261"/>
      <c r="C32" s="261"/>
      <c r="D32" s="521"/>
      <c r="E32" s="262"/>
      <c r="F32" s="178" t="str">
        <f>"&gt; " &amp; 'TENDERER INPUT DATA'!$D$43</f>
        <v>&gt; 3000</v>
      </c>
      <c r="G32" s="522"/>
      <c r="H32" s="522"/>
      <c r="I32" s="522"/>
      <c r="J32" s="270">
        <f>IF(F32='TENDERER INPUT DATA'!$D$43,(1/100*(G32+(H32*I32))),(1/100*(G32+(H32*I32))*'TENDERER INPUT DATA'!$D$44))</f>
        <v>0</v>
      </c>
      <c r="K32" s="266"/>
      <c r="L32" s="264">
        <f t="shared" si="3"/>
        <v>0</v>
      </c>
      <c r="M32" s="533"/>
      <c r="N32" s="264">
        <f t="shared" si="2"/>
        <v>0</v>
      </c>
      <c r="O32" s="265">
        <f t="shared" si="0"/>
        <v>0</v>
      </c>
      <c r="P32" s="265">
        <f t="shared" si="1"/>
        <v>0</v>
      </c>
      <c r="Q32" s="530">
        <f t="shared" si="1"/>
        <v>0</v>
      </c>
    </row>
    <row r="33" spans="1:17" ht="12.75" customHeight="1">
      <c r="A33" s="260"/>
      <c r="B33" s="261"/>
      <c r="C33" s="261"/>
      <c r="D33" s="521"/>
      <c r="E33" s="262"/>
      <c r="F33" s="178">
        <f>'TENDERER INPUT DATA'!$D$43</f>
        <v>3000</v>
      </c>
      <c r="G33" s="522"/>
      <c r="H33" s="522"/>
      <c r="I33" s="522"/>
      <c r="J33" s="270">
        <f>IF(F33='TENDERER INPUT DATA'!$D$43,(1/100*(G33+(H33*I33))),(1/100*(G33+(H33*I33))*'TENDERER INPUT DATA'!$D$44))</f>
        <v>0</v>
      </c>
      <c r="K33" s="266"/>
      <c r="L33" s="264">
        <f t="shared" si="3"/>
        <v>0</v>
      </c>
      <c r="M33" s="533"/>
      <c r="N33" s="264">
        <f t="shared" si="2"/>
        <v>0</v>
      </c>
      <c r="O33" s="265">
        <f t="shared" si="0"/>
        <v>0</v>
      </c>
      <c r="P33" s="265">
        <f t="shared" si="1"/>
        <v>0</v>
      </c>
      <c r="Q33" s="530">
        <f t="shared" si="1"/>
        <v>0</v>
      </c>
    </row>
    <row r="34" spans="1:17" ht="12.75" customHeight="1">
      <c r="A34" s="260"/>
      <c r="B34" s="261"/>
      <c r="C34" s="261"/>
      <c r="D34" s="521"/>
      <c r="E34" s="262"/>
      <c r="F34" s="178" t="str">
        <f>"&gt; " &amp; 'TENDERER INPUT DATA'!$D$43</f>
        <v>&gt; 3000</v>
      </c>
      <c r="G34" s="522"/>
      <c r="H34" s="522"/>
      <c r="I34" s="522"/>
      <c r="J34" s="270">
        <f>IF(F34='TENDERER INPUT DATA'!$D$43,(1/100*(G34+(H34*I34))),(1/100*(G34+(H34*I34))*'TENDERER INPUT DATA'!$D$44))</f>
        <v>0</v>
      </c>
      <c r="K34" s="266"/>
      <c r="L34" s="264">
        <f t="shared" si="3"/>
        <v>0</v>
      </c>
      <c r="M34" s="533"/>
      <c r="N34" s="264">
        <f t="shared" si="2"/>
        <v>0</v>
      </c>
      <c r="O34" s="265">
        <f t="shared" si="0"/>
        <v>0</v>
      </c>
      <c r="P34" s="265">
        <f t="shared" si="1"/>
        <v>0</v>
      </c>
      <c r="Q34" s="530">
        <f t="shared" si="1"/>
        <v>0</v>
      </c>
    </row>
    <row r="35" spans="1:17" ht="12.75" customHeight="1">
      <c r="A35" s="260"/>
      <c r="B35" s="261"/>
      <c r="C35" s="261"/>
      <c r="D35" s="521"/>
      <c r="E35" s="262"/>
      <c r="F35" s="178">
        <f>'TENDERER INPUT DATA'!$D$43</f>
        <v>3000</v>
      </c>
      <c r="G35" s="522"/>
      <c r="H35" s="522"/>
      <c r="I35" s="522"/>
      <c r="J35" s="270">
        <f>IF(F35='TENDERER INPUT DATA'!$D$43,(1/100*(G35+(H35*I35))),(1/100*(G35+(H35*I35))*'TENDERER INPUT DATA'!$D$44))</f>
        <v>0</v>
      </c>
      <c r="K35" s="266"/>
      <c r="L35" s="264">
        <f t="shared" si="3"/>
        <v>0</v>
      </c>
      <c r="M35" s="533"/>
      <c r="N35" s="264">
        <f t="shared" si="2"/>
        <v>0</v>
      </c>
      <c r="O35" s="265">
        <f t="shared" si="0"/>
        <v>0</v>
      </c>
      <c r="P35" s="265">
        <f t="shared" si="1"/>
        <v>0</v>
      </c>
      <c r="Q35" s="530">
        <f t="shared" si="1"/>
        <v>0</v>
      </c>
    </row>
    <row r="36" spans="1:17" ht="12.75" customHeight="1" thickBot="1">
      <c r="A36" s="523"/>
      <c r="B36" s="524"/>
      <c r="C36" s="524"/>
      <c r="D36" s="525"/>
      <c r="E36" s="526"/>
      <c r="F36" s="178" t="str">
        <f>"&gt; " &amp; 'TENDERER INPUT DATA'!$D$43</f>
        <v>&gt; 3000</v>
      </c>
      <c r="G36" s="527"/>
      <c r="H36" s="527"/>
      <c r="I36" s="527"/>
      <c r="J36" s="270">
        <f>IF(F36='TENDERER INPUT DATA'!$D$43,(1/100*(G36+(H36*I36))),(1/100*(G36+(H36*I36))*'TENDERER INPUT DATA'!$D$44))</f>
        <v>0</v>
      </c>
      <c r="K36" s="528"/>
      <c r="L36" s="267">
        <f t="shared" si="3"/>
        <v>0</v>
      </c>
      <c r="M36" s="534"/>
      <c r="N36" s="267">
        <f t="shared" si="2"/>
        <v>0</v>
      </c>
      <c r="O36" s="529">
        <f t="shared" si="0"/>
        <v>0</v>
      </c>
      <c r="P36" s="529">
        <f t="shared" si="1"/>
        <v>0</v>
      </c>
      <c r="Q36" s="531">
        <f t="shared" si="1"/>
        <v>0</v>
      </c>
    </row>
    <row r="37" spans="1:17" ht="18.75" customHeight="1">
      <c r="A37" s="1375" t="s">
        <v>243</v>
      </c>
      <c r="B37" s="1376"/>
      <c r="C37" s="1376"/>
      <c r="D37" s="1376"/>
      <c r="E37" s="1377"/>
      <c r="F37" s="1372">
        <f>'TENDERER INPUT DATA'!$D$43</f>
        <v>3000</v>
      </c>
      <c r="G37" s="1370"/>
      <c r="H37" s="1370"/>
      <c r="I37" s="1370"/>
      <c r="J37" s="1373"/>
      <c r="K37" s="268">
        <f>SUMIF(F11:F36,F37,K11:K36)</f>
        <v>0</v>
      </c>
      <c r="L37" s="268">
        <f>SUMIF(F11:F36,F37,L11:L36)</f>
        <v>0</v>
      </c>
      <c r="M37" s="268">
        <f>SUMIF(F11:F36,F37,M11:M36)</f>
        <v>0</v>
      </c>
      <c r="N37" s="268">
        <f>SUMIF(F11:F36,F37,N11:N36)</f>
        <v>0</v>
      </c>
      <c r="O37" s="268">
        <f>SUMIF(F11:F36,F37,O11:O36)</f>
        <v>0</v>
      </c>
      <c r="P37" s="268">
        <f>SUMIF(F11:F36,F37,P11:P36)</f>
        <v>0</v>
      </c>
      <c r="Q37" s="269">
        <f>SUMIF(F11:F36,F37,Q11:Q36)</f>
        <v>0</v>
      </c>
    </row>
    <row r="38" spans="1:17" ht="18.75" customHeight="1" thickBot="1">
      <c r="A38" s="1378"/>
      <c r="B38" s="1379"/>
      <c r="C38" s="1379"/>
      <c r="D38" s="1379"/>
      <c r="E38" s="1380"/>
      <c r="F38" s="1381" t="str">
        <f>"&gt; " &amp; 'TENDERER INPUT DATA'!$D$43</f>
        <v>&gt; 3000</v>
      </c>
      <c r="G38" s="1382"/>
      <c r="H38" s="1382"/>
      <c r="I38" s="1382"/>
      <c r="J38" s="1383"/>
      <c r="K38" s="538">
        <f t="shared" ref="K38:Q38" si="9">SUM(K11:K36)-K37</f>
        <v>0</v>
      </c>
      <c r="L38" s="538">
        <f t="shared" si="9"/>
        <v>0</v>
      </c>
      <c r="M38" s="538">
        <f t="shared" si="9"/>
        <v>0</v>
      </c>
      <c r="N38" s="538">
        <f t="shared" si="9"/>
        <v>0</v>
      </c>
      <c r="O38" s="538">
        <f t="shared" si="9"/>
        <v>0</v>
      </c>
      <c r="P38" s="538">
        <f t="shared" si="9"/>
        <v>0</v>
      </c>
      <c r="Q38" s="538">
        <f t="shared" si="9"/>
        <v>0</v>
      </c>
    </row>
    <row r="39" spans="1:17" ht="18.75" customHeight="1" thickBot="1">
      <c r="A39" s="539"/>
      <c r="B39" s="539"/>
      <c r="C39" s="539"/>
      <c r="D39" s="539"/>
      <c r="E39" s="539"/>
      <c r="F39" s="460"/>
      <c r="G39" s="460"/>
      <c r="H39" s="460"/>
      <c r="I39" s="460"/>
      <c r="J39" s="460"/>
      <c r="K39" s="540"/>
      <c r="L39" s="540"/>
      <c r="M39" s="540"/>
      <c r="N39" s="540"/>
      <c r="O39" s="540"/>
      <c r="P39" s="540"/>
      <c r="Q39" s="540"/>
    </row>
    <row r="40" spans="1:17" ht="18.75" customHeight="1">
      <c r="A40" s="237" t="s">
        <v>227</v>
      </c>
      <c r="B40" s="1372" t="s">
        <v>228</v>
      </c>
      <c r="C40" s="1373"/>
      <c r="D40" s="1372" t="s">
        <v>229</v>
      </c>
      <c r="E40" s="1373"/>
      <c r="F40" s="1374" t="s">
        <v>3</v>
      </c>
      <c r="G40" s="1374"/>
      <c r="H40" s="1374"/>
      <c r="I40" s="1374"/>
      <c r="J40" s="1374"/>
      <c r="K40" s="238" t="s">
        <v>230</v>
      </c>
      <c r="L40" s="458" t="s">
        <v>231</v>
      </c>
      <c r="M40" s="1369"/>
      <c r="N40" s="1369"/>
      <c r="O40" s="1369"/>
      <c r="P40" s="1370" t="s">
        <v>232</v>
      </c>
      <c r="Q40" s="1371"/>
    </row>
    <row r="41" spans="1:17" ht="27" customHeight="1" thickBot="1">
      <c r="A41" s="239"/>
      <c r="B41" s="240" t="s">
        <v>233</v>
      </c>
      <c r="C41" s="241" t="s">
        <v>234</v>
      </c>
      <c r="D41" s="241" t="s">
        <v>235</v>
      </c>
      <c r="E41" s="241" t="s">
        <v>236</v>
      </c>
      <c r="F41" s="242" t="s">
        <v>230</v>
      </c>
      <c r="G41" s="242"/>
      <c r="H41" s="242"/>
      <c r="I41" s="242"/>
      <c r="J41" s="243" t="s">
        <v>237</v>
      </c>
      <c r="K41" s="244" t="s">
        <v>238</v>
      </c>
      <c r="L41" s="245"/>
      <c r="M41" s="246" t="s">
        <v>230</v>
      </c>
      <c r="N41" s="246" t="s">
        <v>239</v>
      </c>
      <c r="O41" s="247" t="s">
        <v>231</v>
      </c>
      <c r="P41" s="247" t="s">
        <v>230</v>
      </c>
      <c r="Q41" s="248" t="s">
        <v>231</v>
      </c>
    </row>
    <row r="42" spans="1:17" ht="13.8">
      <c r="A42" s="250"/>
      <c r="B42" s="251"/>
      <c r="C42" s="252"/>
      <c r="D42" s="252"/>
      <c r="E42" s="253"/>
      <c r="F42" s="253"/>
      <c r="G42" s="254" t="s">
        <v>240</v>
      </c>
      <c r="H42" s="254" t="s">
        <v>241</v>
      </c>
      <c r="I42" s="254" t="s">
        <v>242</v>
      </c>
      <c r="J42" s="255"/>
      <c r="K42" s="256"/>
      <c r="L42" s="257"/>
      <c r="M42" s="1387" t="s">
        <v>213</v>
      </c>
      <c r="N42" s="1388"/>
      <c r="O42" s="1389"/>
      <c r="P42" s="258"/>
      <c r="Q42" s="259"/>
    </row>
    <row r="43" spans="1:17" ht="12.75" customHeight="1">
      <c r="A43" s="260"/>
      <c r="B43" s="261"/>
      <c r="C43" s="261"/>
      <c r="D43" s="521"/>
      <c r="E43" s="262"/>
      <c r="F43" s="178">
        <f>'TENDERER INPUT DATA'!$D$43</f>
        <v>3000</v>
      </c>
      <c r="G43" s="522"/>
      <c r="H43" s="522"/>
      <c r="I43" s="522"/>
      <c r="J43" s="270">
        <f>IF(F43='TENDERER INPUT DATA'!$D$43,(1/100*(G43+(H43*I43))),(1/100*(G43+(H43*I43))*'TENDERER INPUT DATA'!$D$44))</f>
        <v>0</v>
      </c>
      <c r="K43" s="263"/>
      <c r="L43" s="264">
        <f>ROUND(J43*K43,2)</f>
        <v>0</v>
      </c>
      <c r="M43" s="532"/>
      <c r="N43" s="264">
        <f>+M43</f>
        <v>0</v>
      </c>
      <c r="O43" s="265">
        <f t="shared" ref="O43:O68" si="10">N43*J43</f>
        <v>0</v>
      </c>
      <c r="P43" s="265">
        <f t="shared" ref="P43:P68" si="11">K43+N43</f>
        <v>0</v>
      </c>
      <c r="Q43" s="530">
        <f t="shared" ref="Q43:Q68" si="12">L43+O43</f>
        <v>0</v>
      </c>
    </row>
    <row r="44" spans="1:17" ht="12.75" customHeight="1">
      <c r="A44" s="260"/>
      <c r="B44" s="261"/>
      <c r="C44" s="261"/>
      <c r="D44" s="521"/>
      <c r="E44" s="262"/>
      <c r="F44" s="178" t="str">
        <f>"&gt; " &amp; 'TENDERER INPUT DATA'!$D$43</f>
        <v>&gt; 3000</v>
      </c>
      <c r="G44" s="522"/>
      <c r="H44" s="522"/>
      <c r="I44" s="522"/>
      <c r="J44" s="270">
        <f>IF(F44='TENDERER INPUT DATA'!$D$43,(1/100*(G44+(H44*I44))),(1/100*(G44+(H44*I44))*'TENDERER INPUT DATA'!$D$44))</f>
        <v>0</v>
      </c>
      <c r="K44" s="266"/>
      <c r="L44" s="264">
        <f>ROUND(J44*K44,2)</f>
        <v>0</v>
      </c>
      <c r="M44" s="533"/>
      <c r="N44" s="264">
        <f t="shared" ref="N44:N68" si="13">+M44</f>
        <v>0</v>
      </c>
      <c r="O44" s="265">
        <f t="shared" si="10"/>
        <v>0</v>
      </c>
      <c r="P44" s="265">
        <f t="shared" si="11"/>
        <v>0</v>
      </c>
      <c r="Q44" s="530">
        <f t="shared" si="12"/>
        <v>0</v>
      </c>
    </row>
    <row r="45" spans="1:17" ht="12.75" customHeight="1">
      <c r="A45" s="260"/>
      <c r="B45" s="261"/>
      <c r="C45" s="261"/>
      <c r="D45" s="521"/>
      <c r="E45" s="262"/>
      <c r="F45" s="178">
        <f>'TENDERER INPUT DATA'!$D$43</f>
        <v>3000</v>
      </c>
      <c r="G45" s="522"/>
      <c r="H45" s="522"/>
      <c r="I45" s="522"/>
      <c r="J45" s="270">
        <f>IF(F45='TENDERER INPUT DATA'!$D$43,(1/100*(G45+(H45*I45))),(1/100*(G45+(H45*I45))*'TENDERER INPUT DATA'!$D$44))</f>
        <v>0</v>
      </c>
      <c r="K45" s="266"/>
      <c r="L45" s="264">
        <f>ROUND(J45*K45,2)</f>
        <v>0</v>
      </c>
      <c r="M45" s="533"/>
      <c r="N45" s="264">
        <f t="shared" si="13"/>
        <v>0</v>
      </c>
      <c r="O45" s="265">
        <f t="shared" si="10"/>
        <v>0</v>
      </c>
      <c r="P45" s="265">
        <f t="shared" si="11"/>
        <v>0</v>
      </c>
      <c r="Q45" s="530">
        <f t="shared" si="12"/>
        <v>0</v>
      </c>
    </row>
    <row r="46" spans="1:17" ht="12.75" customHeight="1">
      <c r="A46" s="260"/>
      <c r="B46" s="261"/>
      <c r="C46" s="261"/>
      <c r="D46" s="521"/>
      <c r="E46" s="262"/>
      <c r="F46" s="178" t="str">
        <f>"&gt; " &amp; 'TENDERER INPUT DATA'!$D$43</f>
        <v>&gt; 3000</v>
      </c>
      <c r="G46" s="522"/>
      <c r="H46" s="522"/>
      <c r="I46" s="522"/>
      <c r="J46" s="270">
        <f>IF(F46='TENDERER INPUT DATA'!$D$43,(1/100*(G46+(H46*I46))),(1/100*(G46+(H46*I46))*'TENDERER INPUT DATA'!$D$44))</f>
        <v>0</v>
      </c>
      <c r="K46" s="266"/>
      <c r="L46" s="264">
        <f>ROUND(J46*K46,2)</f>
        <v>0</v>
      </c>
      <c r="M46" s="533"/>
      <c r="N46" s="264">
        <f t="shared" si="13"/>
        <v>0</v>
      </c>
      <c r="O46" s="265">
        <f t="shared" si="10"/>
        <v>0</v>
      </c>
      <c r="P46" s="265">
        <f t="shared" si="11"/>
        <v>0</v>
      </c>
      <c r="Q46" s="530">
        <f t="shared" si="12"/>
        <v>0</v>
      </c>
    </row>
    <row r="47" spans="1:17" ht="12.75" customHeight="1">
      <c r="A47" s="260"/>
      <c r="B47" s="261"/>
      <c r="C47" s="261"/>
      <c r="D47" s="521"/>
      <c r="E47" s="262"/>
      <c r="F47" s="178">
        <f>'TENDERER INPUT DATA'!$D$43</f>
        <v>3000</v>
      </c>
      <c r="G47" s="522"/>
      <c r="H47" s="522"/>
      <c r="I47" s="522"/>
      <c r="J47" s="270">
        <f>IF(F47='TENDERER INPUT DATA'!$D$43,(1/100*(G47+(H47*I47))),(1/100*(G47+(H47*I47))*'TENDERER INPUT DATA'!$D$44))</f>
        <v>0</v>
      </c>
      <c r="K47" s="266"/>
      <c r="L47" s="264">
        <f>ROUND(J47*K47,2)</f>
        <v>0</v>
      </c>
      <c r="M47" s="533"/>
      <c r="N47" s="264">
        <f t="shared" si="13"/>
        <v>0</v>
      </c>
      <c r="O47" s="265">
        <f t="shared" si="10"/>
        <v>0</v>
      </c>
      <c r="P47" s="265">
        <f t="shared" si="11"/>
        <v>0</v>
      </c>
      <c r="Q47" s="530">
        <f t="shared" si="12"/>
        <v>0</v>
      </c>
    </row>
    <row r="48" spans="1:17" ht="12.75" customHeight="1">
      <c r="A48" s="260"/>
      <c r="B48" s="261"/>
      <c r="C48" s="261"/>
      <c r="D48" s="521"/>
      <c r="E48" s="262"/>
      <c r="F48" s="178" t="str">
        <f>"&gt; " &amp; 'TENDERER INPUT DATA'!$D$43</f>
        <v>&gt; 3000</v>
      </c>
      <c r="G48" s="522"/>
      <c r="H48" s="522"/>
      <c r="I48" s="522"/>
      <c r="J48" s="270">
        <f>IF(F48='TENDERER INPUT DATA'!$D$43,(1/100*(G48+(H48*I48))),(1/100*(G48+(H48*I48))*'TENDERER INPUT DATA'!$D$44))</f>
        <v>0</v>
      </c>
      <c r="K48" s="266"/>
      <c r="L48" s="264">
        <f t="shared" ref="L48:L68" si="14">ROUND(J48*K48,2)</f>
        <v>0</v>
      </c>
      <c r="M48" s="533"/>
      <c r="N48" s="264">
        <f t="shared" si="13"/>
        <v>0</v>
      </c>
      <c r="O48" s="265">
        <f t="shared" si="10"/>
        <v>0</v>
      </c>
      <c r="P48" s="265">
        <f t="shared" si="11"/>
        <v>0</v>
      </c>
      <c r="Q48" s="530">
        <f t="shared" si="12"/>
        <v>0</v>
      </c>
    </row>
    <row r="49" spans="1:17" ht="12.75" customHeight="1">
      <c r="A49" s="260"/>
      <c r="B49" s="261"/>
      <c r="C49" s="261"/>
      <c r="D49" s="521"/>
      <c r="E49" s="262"/>
      <c r="F49" s="178">
        <f>'TENDERER INPUT DATA'!$D$43</f>
        <v>3000</v>
      </c>
      <c r="G49" s="522"/>
      <c r="H49" s="522"/>
      <c r="I49" s="522"/>
      <c r="J49" s="270">
        <f>IF(F49='TENDERER INPUT DATA'!$D$43,(1/100*(G49+(H49*I49))),(1/100*(G49+(H49*I49))*'TENDERER INPUT DATA'!$D$44))</f>
        <v>0</v>
      </c>
      <c r="K49" s="266"/>
      <c r="L49" s="264">
        <f t="shared" si="14"/>
        <v>0</v>
      </c>
      <c r="M49" s="533"/>
      <c r="N49" s="264">
        <f t="shared" si="13"/>
        <v>0</v>
      </c>
      <c r="O49" s="265">
        <f t="shared" si="10"/>
        <v>0</v>
      </c>
      <c r="P49" s="265">
        <f t="shared" si="11"/>
        <v>0</v>
      </c>
      <c r="Q49" s="530">
        <f t="shared" si="12"/>
        <v>0</v>
      </c>
    </row>
    <row r="50" spans="1:17" ht="12.75" customHeight="1">
      <c r="A50" s="260"/>
      <c r="B50" s="261"/>
      <c r="C50" s="261"/>
      <c r="D50" s="521"/>
      <c r="E50" s="262"/>
      <c r="F50" s="178" t="str">
        <f>"&gt; " &amp; 'TENDERER INPUT DATA'!$D$43</f>
        <v>&gt; 3000</v>
      </c>
      <c r="G50" s="522"/>
      <c r="H50" s="522"/>
      <c r="I50" s="522"/>
      <c r="J50" s="270">
        <f>IF(F50='TENDERER INPUT DATA'!$D$43,(1/100*(G50+(H50*I50))),(1/100*(G50+(H50*I50))*'TENDERER INPUT DATA'!$D$44))</f>
        <v>0</v>
      </c>
      <c r="K50" s="266"/>
      <c r="L50" s="264">
        <f t="shared" si="14"/>
        <v>0</v>
      </c>
      <c r="M50" s="533"/>
      <c r="N50" s="264">
        <f t="shared" si="13"/>
        <v>0</v>
      </c>
      <c r="O50" s="265">
        <f t="shared" si="10"/>
        <v>0</v>
      </c>
      <c r="P50" s="265">
        <f t="shared" si="11"/>
        <v>0</v>
      </c>
      <c r="Q50" s="530">
        <f t="shared" si="12"/>
        <v>0</v>
      </c>
    </row>
    <row r="51" spans="1:17" ht="12.75" customHeight="1">
      <c r="A51" s="260"/>
      <c r="B51" s="261"/>
      <c r="C51" s="261"/>
      <c r="D51" s="521"/>
      <c r="E51" s="262"/>
      <c r="F51" s="178">
        <f>'TENDERER INPUT DATA'!$D$43</f>
        <v>3000</v>
      </c>
      <c r="G51" s="522"/>
      <c r="H51" s="522"/>
      <c r="I51" s="522"/>
      <c r="J51" s="270">
        <f>IF(F51='TENDERER INPUT DATA'!$D$43,(1/100*(G51+(H51*I51))),(1/100*(G51+(H51*I51))*'TENDERER INPUT DATA'!$D$44))</f>
        <v>0</v>
      </c>
      <c r="K51" s="266"/>
      <c r="L51" s="264">
        <f t="shared" si="14"/>
        <v>0</v>
      </c>
      <c r="M51" s="533"/>
      <c r="N51" s="264">
        <f t="shared" si="13"/>
        <v>0</v>
      </c>
      <c r="O51" s="265">
        <f t="shared" si="10"/>
        <v>0</v>
      </c>
      <c r="P51" s="265">
        <f t="shared" si="11"/>
        <v>0</v>
      </c>
      <c r="Q51" s="530">
        <f t="shared" si="12"/>
        <v>0</v>
      </c>
    </row>
    <row r="52" spans="1:17" ht="12.75" customHeight="1">
      <c r="A52" s="260"/>
      <c r="B52" s="261"/>
      <c r="C52" s="261"/>
      <c r="D52" s="521"/>
      <c r="E52" s="262"/>
      <c r="F52" s="178" t="str">
        <f>"&gt; " &amp; 'TENDERER INPUT DATA'!$D$43</f>
        <v>&gt; 3000</v>
      </c>
      <c r="G52" s="522"/>
      <c r="H52" s="522"/>
      <c r="I52" s="522"/>
      <c r="J52" s="270">
        <f>IF(F52='TENDERER INPUT DATA'!$D$43,(1/100*(G52+(H52*I52))),(1/100*(G52+(H52*I52))*'TENDERER INPUT DATA'!$D$44))</f>
        <v>0</v>
      </c>
      <c r="K52" s="266"/>
      <c r="L52" s="264">
        <f t="shared" si="14"/>
        <v>0</v>
      </c>
      <c r="M52" s="533"/>
      <c r="N52" s="264">
        <f t="shared" si="13"/>
        <v>0</v>
      </c>
      <c r="O52" s="265">
        <f t="shared" si="10"/>
        <v>0</v>
      </c>
      <c r="P52" s="265">
        <f t="shared" si="11"/>
        <v>0</v>
      </c>
      <c r="Q52" s="530">
        <f t="shared" si="12"/>
        <v>0</v>
      </c>
    </row>
    <row r="53" spans="1:17" ht="12.75" customHeight="1">
      <c r="A53" s="260"/>
      <c r="B53" s="261"/>
      <c r="C53" s="261"/>
      <c r="D53" s="521"/>
      <c r="E53" s="262"/>
      <c r="F53" s="178">
        <f>'TENDERER INPUT DATA'!$D$43</f>
        <v>3000</v>
      </c>
      <c r="G53" s="522"/>
      <c r="H53" s="522"/>
      <c r="I53" s="522"/>
      <c r="J53" s="270">
        <f>IF(F53='TENDERER INPUT DATA'!$D$43,(1/100*(G53+(H53*I53))),(1/100*(G53+(H53*I53))*'TENDERER INPUT DATA'!$D$44))</f>
        <v>0</v>
      </c>
      <c r="K53" s="266"/>
      <c r="L53" s="264">
        <f t="shared" si="14"/>
        <v>0</v>
      </c>
      <c r="M53" s="533"/>
      <c r="N53" s="264">
        <f t="shared" si="13"/>
        <v>0</v>
      </c>
      <c r="O53" s="265">
        <f t="shared" si="10"/>
        <v>0</v>
      </c>
      <c r="P53" s="265">
        <f t="shared" si="11"/>
        <v>0</v>
      </c>
      <c r="Q53" s="530">
        <f t="shared" si="12"/>
        <v>0</v>
      </c>
    </row>
    <row r="54" spans="1:17" ht="12.75" customHeight="1">
      <c r="A54" s="260"/>
      <c r="B54" s="261"/>
      <c r="C54" s="261"/>
      <c r="D54" s="521"/>
      <c r="E54" s="262"/>
      <c r="F54" s="178" t="str">
        <f>"&gt; " &amp; 'TENDERER INPUT DATA'!$D$43</f>
        <v>&gt; 3000</v>
      </c>
      <c r="G54" s="522"/>
      <c r="H54" s="522"/>
      <c r="I54" s="522"/>
      <c r="J54" s="270">
        <f>IF(F54='TENDERER INPUT DATA'!$D$43,(1/100*(G54+(H54*I54))),(1/100*(G54+(H54*I54))*'TENDERER INPUT DATA'!$D$44))</f>
        <v>0</v>
      </c>
      <c r="K54" s="266"/>
      <c r="L54" s="264">
        <f t="shared" si="14"/>
        <v>0</v>
      </c>
      <c r="M54" s="533"/>
      <c r="N54" s="264">
        <f t="shared" si="13"/>
        <v>0</v>
      </c>
      <c r="O54" s="265">
        <f t="shared" si="10"/>
        <v>0</v>
      </c>
      <c r="P54" s="265">
        <f t="shared" si="11"/>
        <v>0</v>
      </c>
      <c r="Q54" s="530">
        <f t="shared" si="12"/>
        <v>0</v>
      </c>
    </row>
    <row r="55" spans="1:17" ht="12.75" customHeight="1">
      <c r="A55" s="260"/>
      <c r="B55" s="261"/>
      <c r="C55" s="261"/>
      <c r="D55" s="521"/>
      <c r="E55" s="262"/>
      <c r="F55" s="178">
        <f>'TENDERER INPUT DATA'!$D$43</f>
        <v>3000</v>
      </c>
      <c r="G55" s="522"/>
      <c r="H55" s="522"/>
      <c r="I55" s="522"/>
      <c r="J55" s="270">
        <f>IF(F55='TENDERER INPUT DATA'!$D$43,(1/100*(G55+(H55*I55))),(1/100*(G55+(H55*I55))*'TENDERER INPUT DATA'!$D$44))</f>
        <v>0</v>
      </c>
      <c r="K55" s="266"/>
      <c r="L55" s="264">
        <f t="shared" si="14"/>
        <v>0</v>
      </c>
      <c r="M55" s="533"/>
      <c r="N55" s="264">
        <f t="shared" si="13"/>
        <v>0</v>
      </c>
      <c r="O55" s="265">
        <f t="shared" si="10"/>
        <v>0</v>
      </c>
      <c r="P55" s="265">
        <f t="shared" si="11"/>
        <v>0</v>
      </c>
      <c r="Q55" s="530">
        <f t="shared" si="12"/>
        <v>0</v>
      </c>
    </row>
    <row r="56" spans="1:17" ht="12.75" customHeight="1">
      <c r="A56" s="260"/>
      <c r="B56" s="261"/>
      <c r="C56" s="261"/>
      <c r="D56" s="521"/>
      <c r="E56" s="262"/>
      <c r="F56" s="178" t="str">
        <f>"&gt; " &amp; 'TENDERER INPUT DATA'!$D$43</f>
        <v>&gt; 3000</v>
      </c>
      <c r="G56" s="522"/>
      <c r="H56" s="522"/>
      <c r="I56" s="522"/>
      <c r="J56" s="270">
        <f>IF(F56='TENDERER INPUT DATA'!$D$43,(1/100*(G56+(H56*I56))),(1/100*(G56+(H56*I56))*'TENDERER INPUT DATA'!$D$44))</f>
        <v>0</v>
      </c>
      <c r="K56" s="266"/>
      <c r="L56" s="264">
        <f t="shared" si="14"/>
        <v>0</v>
      </c>
      <c r="M56" s="533"/>
      <c r="N56" s="264">
        <f t="shared" si="13"/>
        <v>0</v>
      </c>
      <c r="O56" s="265">
        <f t="shared" si="10"/>
        <v>0</v>
      </c>
      <c r="P56" s="265">
        <f t="shared" si="11"/>
        <v>0</v>
      </c>
      <c r="Q56" s="530">
        <f t="shared" si="12"/>
        <v>0</v>
      </c>
    </row>
    <row r="57" spans="1:17" ht="12.75" customHeight="1">
      <c r="A57" s="260"/>
      <c r="B57" s="261"/>
      <c r="C57" s="261"/>
      <c r="D57" s="521"/>
      <c r="E57" s="262"/>
      <c r="F57" s="178">
        <f>'TENDERER INPUT DATA'!$D$43</f>
        <v>3000</v>
      </c>
      <c r="G57" s="522"/>
      <c r="H57" s="522"/>
      <c r="I57" s="522"/>
      <c r="J57" s="270">
        <f>IF(F57='TENDERER INPUT DATA'!$D$43,(1/100*(G57+(H57*I57))),(1/100*(G57+(H57*I57))*'TENDERER INPUT DATA'!$D$44))</f>
        <v>0</v>
      </c>
      <c r="K57" s="266"/>
      <c r="L57" s="264">
        <f t="shared" si="14"/>
        <v>0</v>
      </c>
      <c r="M57" s="533"/>
      <c r="N57" s="264">
        <f t="shared" si="13"/>
        <v>0</v>
      </c>
      <c r="O57" s="265">
        <f t="shared" si="10"/>
        <v>0</v>
      </c>
      <c r="P57" s="265">
        <f t="shared" si="11"/>
        <v>0</v>
      </c>
      <c r="Q57" s="530">
        <f t="shared" si="12"/>
        <v>0</v>
      </c>
    </row>
    <row r="58" spans="1:17" ht="12.75" customHeight="1">
      <c r="A58" s="260"/>
      <c r="B58" s="261"/>
      <c r="C58" s="261"/>
      <c r="D58" s="521"/>
      <c r="E58" s="262"/>
      <c r="F58" s="178" t="str">
        <f>"&gt; " &amp; 'TENDERER INPUT DATA'!$D$43</f>
        <v>&gt; 3000</v>
      </c>
      <c r="G58" s="522"/>
      <c r="H58" s="522"/>
      <c r="I58" s="522"/>
      <c r="J58" s="270">
        <f>IF(F58='TENDERER INPUT DATA'!$D$43,(1/100*(G58+(H58*I58))),(1/100*(G58+(H58*I58))*'TENDERER INPUT DATA'!$D$44))</f>
        <v>0</v>
      </c>
      <c r="K58" s="266"/>
      <c r="L58" s="264">
        <f t="shared" si="14"/>
        <v>0</v>
      </c>
      <c r="M58" s="533"/>
      <c r="N58" s="264">
        <f t="shared" si="13"/>
        <v>0</v>
      </c>
      <c r="O58" s="265">
        <f t="shared" si="10"/>
        <v>0</v>
      </c>
      <c r="P58" s="265">
        <f t="shared" si="11"/>
        <v>0</v>
      </c>
      <c r="Q58" s="530">
        <f t="shared" si="12"/>
        <v>0</v>
      </c>
    </row>
    <row r="59" spans="1:17" ht="12.75" customHeight="1">
      <c r="A59" s="260"/>
      <c r="B59" s="261"/>
      <c r="C59" s="261"/>
      <c r="D59" s="521"/>
      <c r="E59" s="262"/>
      <c r="F59" s="178">
        <f>'TENDERER INPUT DATA'!$D$43</f>
        <v>3000</v>
      </c>
      <c r="G59" s="522"/>
      <c r="H59" s="522"/>
      <c r="I59" s="522"/>
      <c r="J59" s="270">
        <f>IF(F59='TENDERER INPUT DATA'!$D$43,(1/100*(G59+(H59*I59))),(1/100*(G59+(H59*I59))*'TENDERER INPUT DATA'!$D$44))</f>
        <v>0</v>
      </c>
      <c r="K59" s="266"/>
      <c r="L59" s="264">
        <f t="shared" si="14"/>
        <v>0</v>
      </c>
      <c r="M59" s="533"/>
      <c r="N59" s="264">
        <f t="shared" si="13"/>
        <v>0</v>
      </c>
      <c r="O59" s="265">
        <f t="shared" si="10"/>
        <v>0</v>
      </c>
      <c r="P59" s="265">
        <f t="shared" si="11"/>
        <v>0</v>
      </c>
      <c r="Q59" s="530">
        <f t="shared" si="12"/>
        <v>0</v>
      </c>
    </row>
    <row r="60" spans="1:17" ht="12.75" customHeight="1">
      <c r="A60" s="260"/>
      <c r="B60" s="261"/>
      <c r="C60" s="261"/>
      <c r="D60" s="521"/>
      <c r="E60" s="262"/>
      <c r="F60" s="178" t="str">
        <f>"&gt; " &amp; 'TENDERER INPUT DATA'!$D$43</f>
        <v>&gt; 3000</v>
      </c>
      <c r="G60" s="522"/>
      <c r="H60" s="522"/>
      <c r="I60" s="522"/>
      <c r="J60" s="270">
        <f>IF(F60='TENDERER INPUT DATA'!$D$43,(1/100*(G60+(H60*I60))),(1/100*(G60+(H60*I60))*'TENDERER INPUT DATA'!$D$44))</f>
        <v>0</v>
      </c>
      <c r="K60" s="266"/>
      <c r="L60" s="264">
        <f t="shared" si="14"/>
        <v>0</v>
      </c>
      <c r="M60" s="533"/>
      <c r="N60" s="264">
        <f t="shared" si="13"/>
        <v>0</v>
      </c>
      <c r="O60" s="265">
        <f t="shared" si="10"/>
        <v>0</v>
      </c>
      <c r="P60" s="265">
        <f t="shared" si="11"/>
        <v>0</v>
      </c>
      <c r="Q60" s="530">
        <f t="shared" si="12"/>
        <v>0</v>
      </c>
    </row>
    <row r="61" spans="1:17" ht="12.75" customHeight="1">
      <c r="A61" s="260"/>
      <c r="B61" s="261"/>
      <c r="C61" s="261"/>
      <c r="D61" s="521"/>
      <c r="E61" s="262"/>
      <c r="F61" s="178">
        <f>'TENDERER INPUT DATA'!$D$43</f>
        <v>3000</v>
      </c>
      <c r="G61" s="522"/>
      <c r="H61" s="522"/>
      <c r="I61" s="522"/>
      <c r="J61" s="270">
        <f>IF(F61='TENDERER INPUT DATA'!$D$43,(1/100*(G61+(H61*I61))),(1/100*(G61+(H61*I61))*'TENDERER INPUT DATA'!$D$44))</f>
        <v>0</v>
      </c>
      <c r="K61" s="266"/>
      <c r="L61" s="264">
        <f t="shared" si="14"/>
        <v>0</v>
      </c>
      <c r="M61" s="533"/>
      <c r="N61" s="264">
        <f t="shared" si="13"/>
        <v>0</v>
      </c>
      <c r="O61" s="265">
        <f t="shared" si="10"/>
        <v>0</v>
      </c>
      <c r="P61" s="265">
        <f t="shared" si="11"/>
        <v>0</v>
      </c>
      <c r="Q61" s="530">
        <f t="shared" si="12"/>
        <v>0</v>
      </c>
    </row>
    <row r="62" spans="1:17" ht="12.75" customHeight="1">
      <c r="A62" s="260"/>
      <c r="B62" s="261"/>
      <c r="C62" s="261"/>
      <c r="D62" s="521"/>
      <c r="E62" s="262"/>
      <c r="F62" s="178" t="str">
        <f>"&gt; " &amp; 'TENDERER INPUT DATA'!$D$43</f>
        <v>&gt; 3000</v>
      </c>
      <c r="G62" s="522"/>
      <c r="H62" s="522"/>
      <c r="I62" s="522"/>
      <c r="J62" s="270">
        <f>IF(F62='TENDERER INPUT DATA'!$D$43,(1/100*(G62+(H62*I62))),(1/100*(G62+(H62*I62))*'TENDERER INPUT DATA'!$D$44))</f>
        <v>0</v>
      </c>
      <c r="K62" s="266"/>
      <c r="L62" s="264">
        <f t="shared" si="14"/>
        <v>0</v>
      </c>
      <c r="M62" s="533"/>
      <c r="N62" s="264">
        <f t="shared" si="13"/>
        <v>0</v>
      </c>
      <c r="O62" s="265">
        <f t="shared" si="10"/>
        <v>0</v>
      </c>
      <c r="P62" s="265">
        <f t="shared" si="11"/>
        <v>0</v>
      </c>
      <c r="Q62" s="530">
        <f t="shared" si="12"/>
        <v>0</v>
      </c>
    </row>
    <row r="63" spans="1:17" ht="12.75" customHeight="1">
      <c r="A63" s="260"/>
      <c r="B63" s="261"/>
      <c r="C63" s="261"/>
      <c r="D63" s="521"/>
      <c r="E63" s="262"/>
      <c r="F63" s="178">
        <f>'TENDERER INPUT DATA'!$D$43</f>
        <v>3000</v>
      </c>
      <c r="G63" s="522"/>
      <c r="H63" s="522"/>
      <c r="I63" s="522"/>
      <c r="J63" s="270">
        <f>IF(F63='TENDERER INPUT DATA'!$D$43,(1/100*(G63+(H63*I63))),(1/100*(G63+(H63*I63))*'TENDERER INPUT DATA'!$D$44))</f>
        <v>0</v>
      </c>
      <c r="K63" s="266"/>
      <c r="L63" s="264">
        <f t="shared" si="14"/>
        <v>0</v>
      </c>
      <c r="M63" s="533"/>
      <c r="N63" s="264">
        <f t="shared" si="13"/>
        <v>0</v>
      </c>
      <c r="O63" s="265">
        <f t="shared" si="10"/>
        <v>0</v>
      </c>
      <c r="P63" s="265">
        <f t="shared" si="11"/>
        <v>0</v>
      </c>
      <c r="Q63" s="530">
        <f t="shared" si="12"/>
        <v>0</v>
      </c>
    </row>
    <row r="64" spans="1:17" ht="12.75" customHeight="1">
      <c r="A64" s="260"/>
      <c r="B64" s="261"/>
      <c r="C64" s="261"/>
      <c r="D64" s="521"/>
      <c r="E64" s="262"/>
      <c r="F64" s="178" t="str">
        <f>"&gt; " &amp; 'TENDERER INPUT DATA'!$D$43</f>
        <v>&gt; 3000</v>
      </c>
      <c r="G64" s="522"/>
      <c r="H64" s="522"/>
      <c r="I64" s="522"/>
      <c r="J64" s="270">
        <f>IF(F64='TENDERER INPUT DATA'!$D$43,(1/100*(G64+(H64*I64))),(1/100*(G64+(H64*I64))*'TENDERER INPUT DATA'!$D$44))</f>
        <v>0</v>
      </c>
      <c r="K64" s="266"/>
      <c r="L64" s="264">
        <f t="shared" si="14"/>
        <v>0</v>
      </c>
      <c r="M64" s="533"/>
      <c r="N64" s="264">
        <f t="shared" si="13"/>
        <v>0</v>
      </c>
      <c r="O64" s="265">
        <f t="shared" si="10"/>
        <v>0</v>
      </c>
      <c r="P64" s="265">
        <f t="shared" si="11"/>
        <v>0</v>
      </c>
      <c r="Q64" s="530">
        <f t="shared" si="12"/>
        <v>0</v>
      </c>
    </row>
    <row r="65" spans="1:17" ht="12.75" customHeight="1">
      <c r="A65" s="260"/>
      <c r="B65" s="261"/>
      <c r="C65" s="261"/>
      <c r="D65" s="521"/>
      <c r="E65" s="262"/>
      <c r="F65" s="178">
        <f>'TENDERER INPUT DATA'!$D$43</f>
        <v>3000</v>
      </c>
      <c r="G65" s="522"/>
      <c r="H65" s="522"/>
      <c r="I65" s="522"/>
      <c r="J65" s="270">
        <f>IF(F65='TENDERER INPUT DATA'!$D$43,(1/100*(G65+(H65*I65))),(1/100*(G65+(H65*I65))*'TENDERER INPUT DATA'!$D$44))</f>
        <v>0</v>
      </c>
      <c r="K65" s="266"/>
      <c r="L65" s="264">
        <f t="shared" si="14"/>
        <v>0</v>
      </c>
      <c r="M65" s="533"/>
      <c r="N65" s="264">
        <f t="shared" si="13"/>
        <v>0</v>
      </c>
      <c r="O65" s="265">
        <f t="shared" si="10"/>
        <v>0</v>
      </c>
      <c r="P65" s="265">
        <f t="shared" si="11"/>
        <v>0</v>
      </c>
      <c r="Q65" s="530">
        <f t="shared" si="12"/>
        <v>0</v>
      </c>
    </row>
    <row r="66" spans="1:17" ht="12.75" customHeight="1">
      <c r="A66" s="260"/>
      <c r="B66" s="261"/>
      <c r="C66" s="261"/>
      <c r="D66" s="521"/>
      <c r="E66" s="262"/>
      <c r="F66" s="178" t="str">
        <f>"&gt; " &amp; 'TENDERER INPUT DATA'!$D$43</f>
        <v>&gt; 3000</v>
      </c>
      <c r="G66" s="522"/>
      <c r="H66" s="522"/>
      <c r="I66" s="522"/>
      <c r="J66" s="270">
        <f>IF(F66='TENDERER INPUT DATA'!$D$43,(1/100*(G66+(H66*I66))),(1/100*(G66+(H66*I66))*'TENDERER INPUT DATA'!$D$44))</f>
        <v>0</v>
      </c>
      <c r="K66" s="266"/>
      <c r="L66" s="264">
        <f t="shared" si="14"/>
        <v>0</v>
      </c>
      <c r="M66" s="533"/>
      <c r="N66" s="264">
        <f t="shared" si="13"/>
        <v>0</v>
      </c>
      <c r="O66" s="265">
        <f t="shared" si="10"/>
        <v>0</v>
      </c>
      <c r="P66" s="265">
        <f t="shared" si="11"/>
        <v>0</v>
      </c>
      <c r="Q66" s="530">
        <f t="shared" si="12"/>
        <v>0</v>
      </c>
    </row>
    <row r="67" spans="1:17" ht="12.75" customHeight="1">
      <c r="A67" s="260"/>
      <c r="B67" s="261"/>
      <c r="C67" s="261"/>
      <c r="D67" s="521"/>
      <c r="E67" s="262"/>
      <c r="F67" s="178">
        <f>'TENDERER INPUT DATA'!$D$43</f>
        <v>3000</v>
      </c>
      <c r="G67" s="522"/>
      <c r="H67" s="522"/>
      <c r="I67" s="522"/>
      <c r="J67" s="270">
        <f>IF(F67='TENDERER INPUT DATA'!$D$43,(1/100*(G67+(H67*I67))),(1/100*(G67+(H67*I67))*'TENDERER INPUT DATA'!$D$44))</f>
        <v>0</v>
      </c>
      <c r="K67" s="266"/>
      <c r="L67" s="264">
        <f t="shared" si="14"/>
        <v>0</v>
      </c>
      <c r="M67" s="533"/>
      <c r="N67" s="264">
        <f t="shared" si="13"/>
        <v>0</v>
      </c>
      <c r="O67" s="265">
        <f t="shared" si="10"/>
        <v>0</v>
      </c>
      <c r="P67" s="265">
        <f t="shared" si="11"/>
        <v>0</v>
      </c>
      <c r="Q67" s="530">
        <f t="shared" si="12"/>
        <v>0</v>
      </c>
    </row>
    <row r="68" spans="1:17" ht="12.75" customHeight="1" thickBot="1">
      <c r="A68" s="523"/>
      <c r="B68" s="524"/>
      <c r="C68" s="524"/>
      <c r="D68" s="525"/>
      <c r="E68" s="526"/>
      <c r="F68" s="178" t="str">
        <f>"&gt; " &amp; 'TENDERER INPUT DATA'!$D$43</f>
        <v>&gt; 3000</v>
      </c>
      <c r="G68" s="527"/>
      <c r="H68" s="527"/>
      <c r="I68" s="527"/>
      <c r="J68" s="270">
        <f>IF(F68='TENDERER INPUT DATA'!$D$43,(1/100*(G68+(H68*I68))),(1/100*(G68+(H68*I68))*'TENDERER INPUT DATA'!$D$44))</f>
        <v>0</v>
      </c>
      <c r="K68" s="528"/>
      <c r="L68" s="267">
        <f t="shared" si="14"/>
        <v>0</v>
      </c>
      <c r="M68" s="534"/>
      <c r="N68" s="267">
        <f t="shared" si="13"/>
        <v>0</v>
      </c>
      <c r="O68" s="529">
        <f t="shared" si="10"/>
        <v>0</v>
      </c>
      <c r="P68" s="529">
        <f t="shared" si="11"/>
        <v>0</v>
      </c>
      <c r="Q68" s="531">
        <f t="shared" si="12"/>
        <v>0</v>
      </c>
    </row>
    <row r="69" spans="1:17" ht="18.75" customHeight="1">
      <c r="A69" s="1375" t="s">
        <v>243</v>
      </c>
      <c r="B69" s="1376"/>
      <c r="C69" s="1376"/>
      <c r="D69" s="1376"/>
      <c r="E69" s="1377"/>
      <c r="F69" s="1372">
        <f>'TENDERER INPUT DATA'!$D$43</f>
        <v>3000</v>
      </c>
      <c r="G69" s="1370"/>
      <c r="H69" s="1370"/>
      <c r="I69" s="1370"/>
      <c r="J69" s="1373"/>
      <c r="K69" s="268">
        <f>SUMIF(F43:F68,F69,K43:K68)</f>
        <v>0</v>
      </c>
      <c r="L69" s="268">
        <f>SUMIF(F43:F68,F69,L43:L68)</f>
        <v>0</v>
      </c>
      <c r="M69" s="268">
        <f>SUMIF(F43:F68,F69,M43:M68)</f>
        <v>0</v>
      </c>
      <c r="N69" s="268">
        <f>SUMIF(F43:F68,F69,N43:N68)</f>
        <v>0</v>
      </c>
      <c r="O69" s="268">
        <f>SUMIF(F43:F68,F69,O43:O68)</f>
        <v>0</v>
      </c>
      <c r="P69" s="268">
        <f>SUMIF(F43:F68,F69,P43:P68)</f>
        <v>0</v>
      </c>
      <c r="Q69" s="269">
        <f>SUMIF(F43:F68,F69,Q43:Q68)</f>
        <v>0</v>
      </c>
    </row>
    <row r="70" spans="1:17" ht="18.75" customHeight="1" thickBot="1">
      <c r="A70" s="1378"/>
      <c r="B70" s="1379"/>
      <c r="C70" s="1379"/>
      <c r="D70" s="1379"/>
      <c r="E70" s="1380"/>
      <c r="F70" s="1381" t="str">
        <f>"&gt; " &amp; 'TENDERER INPUT DATA'!$D$43</f>
        <v>&gt; 3000</v>
      </c>
      <c r="G70" s="1382"/>
      <c r="H70" s="1382"/>
      <c r="I70" s="1382"/>
      <c r="J70" s="1383"/>
      <c r="K70" s="538">
        <f t="shared" ref="K70:Q70" si="15">SUM(K43:K68)-K69</f>
        <v>0</v>
      </c>
      <c r="L70" s="538">
        <f t="shared" si="15"/>
        <v>0</v>
      </c>
      <c r="M70" s="538">
        <f t="shared" si="15"/>
        <v>0</v>
      </c>
      <c r="N70" s="538">
        <f t="shared" si="15"/>
        <v>0</v>
      </c>
      <c r="O70" s="538">
        <f t="shared" si="15"/>
        <v>0</v>
      </c>
      <c r="P70" s="538">
        <f t="shared" si="15"/>
        <v>0</v>
      </c>
      <c r="Q70" s="538">
        <f t="shared" si="15"/>
        <v>0</v>
      </c>
    </row>
    <row r="71" spans="1:17" ht="18.75" customHeight="1" thickBot="1">
      <c r="A71" s="539"/>
      <c r="B71" s="539"/>
      <c r="C71" s="539"/>
      <c r="D71" s="539"/>
      <c r="E71" s="539"/>
      <c r="F71" s="460"/>
      <c r="G71" s="460"/>
      <c r="H71" s="460"/>
      <c r="I71" s="460"/>
      <c r="J71" s="460"/>
      <c r="K71" s="540"/>
      <c r="L71" s="540"/>
      <c r="M71" s="540"/>
      <c r="N71" s="540"/>
      <c r="O71" s="540"/>
      <c r="P71" s="540"/>
      <c r="Q71" s="540"/>
    </row>
    <row r="72" spans="1:17" ht="18.75" customHeight="1">
      <c r="A72" s="237" t="s">
        <v>227</v>
      </c>
      <c r="B72" s="1372" t="s">
        <v>228</v>
      </c>
      <c r="C72" s="1373"/>
      <c r="D72" s="1372" t="s">
        <v>229</v>
      </c>
      <c r="E72" s="1373"/>
      <c r="F72" s="1374" t="s">
        <v>3</v>
      </c>
      <c r="G72" s="1374"/>
      <c r="H72" s="1374"/>
      <c r="I72" s="1374"/>
      <c r="J72" s="1374"/>
      <c r="K72" s="238" t="s">
        <v>230</v>
      </c>
      <c r="L72" s="458" t="s">
        <v>231</v>
      </c>
      <c r="M72" s="1369"/>
      <c r="N72" s="1369"/>
      <c r="O72" s="1369"/>
      <c r="P72" s="1370" t="s">
        <v>232</v>
      </c>
      <c r="Q72" s="1371"/>
    </row>
    <row r="73" spans="1:17" ht="29.25" customHeight="1" thickBot="1">
      <c r="A73" s="239"/>
      <c r="B73" s="240" t="s">
        <v>233</v>
      </c>
      <c r="C73" s="241" t="s">
        <v>234</v>
      </c>
      <c r="D73" s="241" t="s">
        <v>235</v>
      </c>
      <c r="E73" s="241" t="s">
        <v>236</v>
      </c>
      <c r="F73" s="242" t="s">
        <v>230</v>
      </c>
      <c r="G73" s="242"/>
      <c r="H73" s="242"/>
      <c r="I73" s="242"/>
      <c r="J73" s="243" t="s">
        <v>237</v>
      </c>
      <c r="K73" s="244" t="s">
        <v>238</v>
      </c>
      <c r="L73" s="245"/>
      <c r="M73" s="246" t="s">
        <v>230</v>
      </c>
      <c r="N73" s="246" t="s">
        <v>239</v>
      </c>
      <c r="O73" s="247" t="s">
        <v>231</v>
      </c>
      <c r="P73" s="247" t="s">
        <v>230</v>
      </c>
      <c r="Q73" s="248" t="s">
        <v>231</v>
      </c>
    </row>
    <row r="74" spans="1:17" ht="13.8">
      <c r="A74" s="250"/>
      <c r="B74" s="251"/>
      <c r="C74" s="252"/>
      <c r="D74" s="252"/>
      <c r="E74" s="253"/>
      <c r="F74" s="253"/>
      <c r="G74" s="254" t="s">
        <v>240</v>
      </c>
      <c r="H74" s="254" t="s">
        <v>241</v>
      </c>
      <c r="I74" s="254" t="s">
        <v>242</v>
      </c>
      <c r="J74" s="255"/>
      <c r="K74" s="256"/>
      <c r="L74" s="257"/>
      <c r="M74" s="1387" t="s">
        <v>213</v>
      </c>
      <c r="N74" s="1388"/>
      <c r="O74" s="1389"/>
      <c r="P74" s="258"/>
      <c r="Q74" s="259"/>
    </row>
    <row r="75" spans="1:17" ht="12.75" customHeight="1">
      <c r="A75" s="260"/>
      <c r="B75" s="261"/>
      <c r="C75" s="261"/>
      <c r="D75" s="521"/>
      <c r="E75" s="262"/>
      <c r="F75" s="178">
        <f>'TENDERER INPUT DATA'!$D$43</f>
        <v>3000</v>
      </c>
      <c r="G75" s="522"/>
      <c r="H75" s="522"/>
      <c r="I75" s="522"/>
      <c r="J75" s="270">
        <f>IF(F75='TENDERER INPUT DATA'!$D$43,(1/100*(G75+(H75*I75))),(1/100*(G75+(H75*I75))*'TENDERER INPUT DATA'!$D$44))</f>
        <v>0</v>
      </c>
      <c r="K75" s="263"/>
      <c r="L75" s="264">
        <f>ROUND(J75*K75,2)</f>
        <v>0</v>
      </c>
      <c r="M75" s="532"/>
      <c r="N75" s="264">
        <f>+M75</f>
        <v>0</v>
      </c>
      <c r="O75" s="265">
        <f t="shared" ref="O75:O100" si="16">N75*J75</f>
        <v>0</v>
      </c>
      <c r="P75" s="265">
        <f t="shared" ref="P75:P100" si="17">K75+N75</f>
        <v>0</v>
      </c>
      <c r="Q75" s="530">
        <f t="shared" ref="Q75:Q100" si="18">L75+O75</f>
        <v>0</v>
      </c>
    </row>
    <row r="76" spans="1:17" ht="12.75" customHeight="1">
      <c r="A76" s="260"/>
      <c r="B76" s="261"/>
      <c r="C76" s="261"/>
      <c r="D76" s="521"/>
      <c r="E76" s="262"/>
      <c r="F76" s="178" t="str">
        <f>"&gt; " &amp; 'TENDERER INPUT DATA'!$D$43</f>
        <v>&gt; 3000</v>
      </c>
      <c r="G76" s="522"/>
      <c r="H76" s="522"/>
      <c r="I76" s="522"/>
      <c r="J76" s="270">
        <f>IF(F76='TENDERER INPUT DATA'!$D$43,(1/100*(G76+(H76*I76))),(1/100*(G76+(H76*I76))*'TENDERER INPUT DATA'!$D$44))</f>
        <v>0</v>
      </c>
      <c r="K76" s="266"/>
      <c r="L76" s="264">
        <f>ROUND(J76*K76,2)</f>
        <v>0</v>
      </c>
      <c r="M76" s="533"/>
      <c r="N76" s="264">
        <f t="shared" ref="N76:N100" si="19">+M76</f>
        <v>0</v>
      </c>
      <c r="O76" s="265">
        <f t="shared" si="16"/>
        <v>0</v>
      </c>
      <c r="P76" s="265">
        <f t="shared" si="17"/>
        <v>0</v>
      </c>
      <c r="Q76" s="530">
        <f t="shared" si="18"/>
        <v>0</v>
      </c>
    </row>
    <row r="77" spans="1:17" ht="12.75" customHeight="1">
      <c r="A77" s="260"/>
      <c r="B77" s="261"/>
      <c r="C77" s="261"/>
      <c r="D77" s="521"/>
      <c r="E77" s="262"/>
      <c r="F77" s="178">
        <f>'TENDERER INPUT DATA'!$D$43</f>
        <v>3000</v>
      </c>
      <c r="G77" s="522"/>
      <c r="H77" s="522"/>
      <c r="I77" s="522"/>
      <c r="J77" s="270">
        <f>IF(F77='TENDERER INPUT DATA'!$D$43,(1/100*(G77+(H77*I77))),(1/100*(G77+(H77*I77))*'TENDERER INPUT DATA'!$D$44))</f>
        <v>0</v>
      </c>
      <c r="K77" s="266"/>
      <c r="L77" s="264">
        <f>ROUND(J77*K77,2)</f>
        <v>0</v>
      </c>
      <c r="M77" s="533"/>
      <c r="N77" s="264">
        <f t="shared" si="19"/>
        <v>0</v>
      </c>
      <c r="O77" s="265">
        <f t="shared" si="16"/>
        <v>0</v>
      </c>
      <c r="P77" s="265">
        <f t="shared" si="17"/>
        <v>0</v>
      </c>
      <c r="Q77" s="530">
        <f t="shared" si="18"/>
        <v>0</v>
      </c>
    </row>
    <row r="78" spans="1:17" ht="12.75" customHeight="1">
      <c r="A78" s="260"/>
      <c r="B78" s="261"/>
      <c r="C78" s="261"/>
      <c r="D78" s="521"/>
      <c r="E78" s="262"/>
      <c r="F78" s="178" t="str">
        <f>"&gt; " &amp; 'TENDERER INPUT DATA'!$D$43</f>
        <v>&gt; 3000</v>
      </c>
      <c r="G78" s="522"/>
      <c r="H78" s="522"/>
      <c r="I78" s="522"/>
      <c r="J78" s="270">
        <f>IF(F78='TENDERER INPUT DATA'!$D$43,(1/100*(G78+(H78*I78))),(1/100*(G78+(H78*I78))*'TENDERER INPUT DATA'!$D$44))</f>
        <v>0</v>
      </c>
      <c r="K78" s="266"/>
      <c r="L78" s="264">
        <f>ROUND(J78*K78,2)</f>
        <v>0</v>
      </c>
      <c r="M78" s="533"/>
      <c r="N78" s="264">
        <f t="shared" si="19"/>
        <v>0</v>
      </c>
      <c r="O78" s="265">
        <f t="shared" si="16"/>
        <v>0</v>
      </c>
      <c r="P78" s="265">
        <f t="shared" si="17"/>
        <v>0</v>
      </c>
      <c r="Q78" s="530">
        <f t="shared" si="18"/>
        <v>0</v>
      </c>
    </row>
    <row r="79" spans="1:17" ht="12.75" customHeight="1">
      <c r="A79" s="260"/>
      <c r="B79" s="261"/>
      <c r="C79" s="261"/>
      <c r="D79" s="521"/>
      <c r="E79" s="262"/>
      <c r="F79" s="178">
        <f>'TENDERER INPUT DATA'!$D$43</f>
        <v>3000</v>
      </c>
      <c r="G79" s="522"/>
      <c r="H79" s="522"/>
      <c r="I79" s="522"/>
      <c r="J79" s="270">
        <f>IF(F79='TENDERER INPUT DATA'!$D$43,(1/100*(G79+(H79*I79))),(1/100*(G79+(H79*I79))*'TENDERER INPUT DATA'!$D$44))</f>
        <v>0</v>
      </c>
      <c r="K79" s="266"/>
      <c r="L79" s="264">
        <f>ROUND(J79*K79,2)</f>
        <v>0</v>
      </c>
      <c r="M79" s="533"/>
      <c r="N79" s="264">
        <f t="shared" si="19"/>
        <v>0</v>
      </c>
      <c r="O79" s="265">
        <f t="shared" si="16"/>
        <v>0</v>
      </c>
      <c r="P79" s="265">
        <f t="shared" si="17"/>
        <v>0</v>
      </c>
      <c r="Q79" s="530">
        <f t="shared" si="18"/>
        <v>0</v>
      </c>
    </row>
    <row r="80" spans="1:17" ht="12.75" customHeight="1">
      <c r="A80" s="260"/>
      <c r="B80" s="261"/>
      <c r="C80" s="261"/>
      <c r="D80" s="521"/>
      <c r="E80" s="262"/>
      <c r="F80" s="178" t="str">
        <f>"&gt; " &amp; 'TENDERER INPUT DATA'!$D$43</f>
        <v>&gt; 3000</v>
      </c>
      <c r="G80" s="522"/>
      <c r="H80" s="522"/>
      <c r="I80" s="522"/>
      <c r="J80" s="270">
        <f>IF(F80='TENDERER INPUT DATA'!$D$43,(1/100*(G80+(H80*I80))),(1/100*(G80+(H80*I80))*'TENDERER INPUT DATA'!$D$44))</f>
        <v>0</v>
      </c>
      <c r="K80" s="266"/>
      <c r="L80" s="264">
        <f t="shared" ref="L80:L100" si="20">ROUND(J80*K80,2)</f>
        <v>0</v>
      </c>
      <c r="M80" s="533"/>
      <c r="N80" s="264">
        <f t="shared" si="19"/>
        <v>0</v>
      </c>
      <c r="O80" s="265">
        <f t="shared" si="16"/>
        <v>0</v>
      </c>
      <c r="P80" s="265">
        <f t="shared" si="17"/>
        <v>0</v>
      </c>
      <c r="Q80" s="530">
        <f t="shared" si="18"/>
        <v>0</v>
      </c>
    </row>
    <row r="81" spans="1:17" ht="12.75" customHeight="1">
      <c r="A81" s="260"/>
      <c r="B81" s="261"/>
      <c r="C81" s="261"/>
      <c r="D81" s="521"/>
      <c r="E81" s="262"/>
      <c r="F81" s="178">
        <f>'TENDERER INPUT DATA'!$D$43</f>
        <v>3000</v>
      </c>
      <c r="G81" s="522"/>
      <c r="H81" s="522"/>
      <c r="I81" s="522"/>
      <c r="J81" s="270">
        <f>IF(F81='TENDERER INPUT DATA'!$D$43,(1/100*(G81+(H81*I81))),(1/100*(G81+(H81*I81))*'TENDERER INPUT DATA'!$D$44))</f>
        <v>0</v>
      </c>
      <c r="K81" s="266"/>
      <c r="L81" s="264">
        <f t="shared" si="20"/>
        <v>0</v>
      </c>
      <c r="M81" s="533"/>
      <c r="N81" s="264">
        <f t="shared" si="19"/>
        <v>0</v>
      </c>
      <c r="O81" s="265">
        <f t="shared" si="16"/>
        <v>0</v>
      </c>
      <c r="P81" s="265">
        <f t="shared" si="17"/>
        <v>0</v>
      </c>
      <c r="Q81" s="530">
        <f t="shared" si="18"/>
        <v>0</v>
      </c>
    </row>
    <row r="82" spans="1:17" ht="12.75" customHeight="1">
      <c r="A82" s="260"/>
      <c r="B82" s="261"/>
      <c r="C82" s="261"/>
      <c r="D82" s="521"/>
      <c r="E82" s="262"/>
      <c r="F82" s="178" t="str">
        <f>"&gt; " &amp; 'TENDERER INPUT DATA'!$D$43</f>
        <v>&gt; 3000</v>
      </c>
      <c r="G82" s="522"/>
      <c r="H82" s="522"/>
      <c r="I82" s="522"/>
      <c r="J82" s="270">
        <f>IF(F82='TENDERER INPUT DATA'!$D$43,(1/100*(G82+(H82*I82))),(1/100*(G82+(H82*I82))*'TENDERER INPUT DATA'!$D$44))</f>
        <v>0</v>
      </c>
      <c r="K82" s="266"/>
      <c r="L82" s="264">
        <f t="shared" si="20"/>
        <v>0</v>
      </c>
      <c r="M82" s="533"/>
      <c r="N82" s="264">
        <f t="shared" si="19"/>
        <v>0</v>
      </c>
      <c r="O82" s="265">
        <f t="shared" si="16"/>
        <v>0</v>
      </c>
      <c r="P82" s="265">
        <f t="shared" si="17"/>
        <v>0</v>
      </c>
      <c r="Q82" s="530">
        <f t="shared" si="18"/>
        <v>0</v>
      </c>
    </row>
    <row r="83" spans="1:17" ht="12.75" customHeight="1">
      <c r="A83" s="260"/>
      <c r="B83" s="261"/>
      <c r="C83" s="261"/>
      <c r="D83" s="521"/>
      <c r="E83" s="262"/>
      <c r="F83" s="178">
        <f>'TENDERER INPUT DATA'!$D$43</f>
        <v>3000</v>
      </c>
      <c r="G83" s="522"/>
      <c r="H83" s="522"/>
      <c r="I83" s="522"/>
      <c r="J83" s="270">
        <f>IF(F83='TENDERER INPUT DATA'!$D$43,(1/100*(G83+(H83*I83))),(1/100*(G83+(H83*I83))*'TENDERER INPUT DATA'!$D$44))</f>
        <v>0</v>
      </c>
      <c r="K83" s="266"/>
      <c r="L83" s="264">
        <f t="shared" si="20"/>
        <v>0</v>
      </c>
      <c r="M83" s="533"/>
      <c r="N83" s="264">
        <f t="shared" si="19"/>
        <v>0</v>
      </c>
      <c r="O83" s="265">
        <f t="shared" si="16"/>
        <v>0</v>
      </c>
      <c r="P83" s="265">
        <f t="shared" si="17"/>
        <v>0</v>
      </c>
      <c r="Q83" s="530">
        <f t="shared" si="18"/>
        <v>0</v>
      </c>
    </row>
    <row r="84" spans="1:17" ht="12.75" customHeight="1">
      <c r="A84" s="260"/>
      <c r="B84" s="261"/>
      <c r="C84" s="261"/>
      <c r="D84" s="521"/>
      <c r="E84" s="262"/>
      <c r="F84" s="178" t="str">
        <f>"&gt; " &amp; 'TENDERER INPUT DATA'!$D$43</f>
        <v>&gt; 3000</v>
      </c>
      <c r="G84" s="522"/>
      <c r="H84" s="522"/>
      <c r="I84" s="522"/>
      <c r="J84" s="270">
        <f>IF(F84='TENDERER INPUT DATA'!$D$43,(1/100*(G84+(H84*I84))),(1/100*(G84+(H84*I84))*'TENDERER INPUT DATA'!$D$44))</f>
        <v>0</v>
      </c>
      <c r="K84" s="266"/>
      <c r="L84" s="264">
        <f t="shared" si="20"/>
        <v>0</v>
      </c>
      <c r="M84" s="533"/>
      <c r="N84" s="264">
        <f t="shared" si="19"/>
        <v>0</v>
      </c>
      <c r="O84" s="265">
        <f t="shared" si="16"/>
        <v>0</v>
      </c>
      <c r="P84" s="265">
        <f t="shared" si="17"/>
        <v>0</v>
      </c>
      <c r="Q84" s="530">
        <f t="shared" si="18"/>
        <v>0</v>
      </c>
    </row>
    <row r="85" spans="1:17" ht="12.75" customHeight="1">
      <c r="A85" s="260"/>
      <c r="B85" s="261"/>
      <c r="C85" s="261"/>
      <c r="D85" s="521"/>
      <c r="E85" s="262"/>
      <c r="F85" s="178">
        <f>'TENDERER INPUT DATA'!$D$43</f>
        <v>3000</v>
      </c>
      <c r="G85" s="522"/>
      <c r="H85" s="522"/>
      <c r="I85" s="522"/>
      <c r="J85" s="270">
        <f>IF(F85='TENDERER INPUT DATA'!$D$43,(1/100*(G85+(H85*I85))),(1/100*(G85+(H85*I85))*'TENDERER INPUT DATA'!$D$44))</f>
        <v>0</v>
      </c>
      <c r="K85" s="266"/>
      <c r="L85" s="264">
        <f t="shared" si="20"/>
        <v>0</v>
      </c>
      <c r="M85" s="533"/>
      <c r="N85" s="264">
        <f t="shared" si="19"/>
        <v>0</v>
      </c>
      <c r="O85" s="265">
        <f t="shared" si="16"/>
        <v>0</v>
      </c>
      <c r="P85" s="265">
        <f t="shared" si="17"/>
        <v>0</v>
      </c>
      <c r="Q85" s="530">
        <f t="shared" si="18"/>
        <v>0</v>
      </c>
    </row>
    <row r="86" spans="1:17" ht="12.75" customHeight="1">
      <c r="A86" s="260"/>
      <c r="B86" s="261"/>
      <c r="C86" s="261"/>
      <c r="D86" s="521"/>
      <c r="E86" s="262"/>
      <c r="F86" s="178" t="str">
        <f>"&gt; " &amp; 'TENDERER INPUT DATA'!$D$43</f>
        <v>&gt; 3000</v>
      </c>
      <c r="G86" s="522"/>
      <c r="H86" s="522"/>
      <c r="I86" s="522"/>
      <c r="J86" s="270">
        <f>IF(F86='TENDERER INPUT DATA'!$D$43,(1/100*(G86+(H86*I86))),(1/100*(G86+(H86*I86))*'TENDERER INPUT DATA'!$D$44))</f>
        <v>0</v>
      </c>
      <c r="K86" s="266"/>
      <c r="L86" s="264">
        <f t="shared" si="20"/>
        <v>0</v>
      </c>
      <c r="M86" s="533"/>
      <c r="N86" s="264">
        <f t="shared" si="19"/>
        <v>0</v>
      </c>
      <c r="O86" s="265">
        <f t="shared" si="16"/>
        <v>0</v>
      </c>
      <c r="P86" s="265">
        <f t="shared" si="17"/>
        <v>0</v>
      </c>
      <c r="Q86" s="530">
        <f t="shared" si="18"/>
        <v>0</v>
      </c>
    </row>
    <row r="87" spans="1:17" ht="12.75" customHeight="1">
      <c r="A87" s="260"/>
      <c r="B87" s="261"/>
      <c r="C87" s="261"/>
      <c r="D87" s="521"/>
      <c r="E87" s="262"/>
      <c r="F87" s="178">
        <f>'TENDERER INPUT DATA'!$D$43</f>
        <v>3000</v>
      </c>
      <c r="G87" s="522"/>
      <c r="H87" s="522"/>
      <c r="I87" s="522"/>
      <c r="J87" s="270">
        <f>IF(F87='TENDERER INPUT DATA'!$D$43,(1/100*(G87+(H87*I87))),(1/100*(G87+(H87*I87))*'TENDERER INPUT DATA'!$D$44))</f>
        <v>0</v>
      </c>
      <c r="K87" s="266"/>
      <c r="L87" s="264">
        <f t="shared" si="20"/>
        <v>0</v>
      </c>
      <c r="M87" s="533"/>
      <c r="N87" s="264">
        <f t="shared" si="19"/>
        <v>0</v>
      </c>
      <c r="O87" s="265">
        <f t="shared" si="16"/>
        <v>0</v>
      </c>
      <c r="P87" s="265">
        <f t="shared" si="17"/>
        <v>0</v>
      </c>
      <c r="Q87" s="530">
        <f t="shared" si="18"/>
        <v>0</v>
      </c>
    </row>
    <row r="88" spans="1:17" ht="12.75" customHeight="1">
      <c r="A88" s="260"/>
      <c r="B88" s="261"/>
      <c r="C88" s="261"/>
      <c r="D88" s="521"/>
      <c r="E88" s="262"/>
      <c r="F88" s="178" t="str">
        <f>"&gt; " &amp; 'TENDERER INPUT DATA'!$D$43</f>
        <v>&gt; 3000</v>
      </c>
      <c r="G88" s="522"/>
      <c r="H88" s="522"/>
      <c r="I88" s="522"/>
      <c r="J88" s="270">
        <f>IF(F88='TENDERER INPUT DATA'!$D$43,(1/100*(G88+(H88*I88))),(1/100*(G88+(H88*I88))*'TENDERER INPUT DATA'!$D$44))</f>
        <v>0</v>
      </c>
      <c r="K88" s="266"/>
      <c r="L88" s="264">
        <f t="shared" si="20"/>
        <v>0</v>
      </c>
      <c r="M88" s="533"/>
      <c r="N88" s="264">
        <f t="shared" si="19"/>
        <v>0</v>
      </c>
      <c r="O88" s="265">
        <f t="shared" si="16"/>
        <v>0</v>
      </c>
      <c r="P88" s="265">
        <f t="shared" si="17"/>
        <v>0</v>
      </c>
      <c r="Q88" s="530">
        <f t="shared" si="18"/>
        <v>0</v>
      </c>
    </row>
    <row r="89" spans="1:17" ht="12.75" customHeight="1">
      <c r="A89" s="260"/>
      <c r="B89" s="261"/>
      <c r="C89" s="261"/>
      <c r="D89" s="521"/>
      <c r="E89" s="262"/>
      <c r="F89" s="178">
        <f>'TENDERER INPUT DATA'!$D$43</f>
        <v>3000</v>
      </c>
      <c r="G89" s="522"/>
      <c r="H89" s="522"/>
      <c r="I89" s="522"/>
      <c r="J89" s="270">
        <f>IF(F89='TENDERER INPUT DATA'!$D$43,(1/100*(G89+(H89*I89))),(1/100*(G89+(H89*I89))*'TENDERER INPUT DATA'!$D$44))</f>
        <v>0</v>
      </c>
      <c r="K89" s="266"/>
      <c r="L89" s="264">
        <f t="shared" si="20"/>
        <v>0</v>
      </c>
      <c r="M89" s="533"/>
      <c r="N89" s="264">
        <f t="shared" si="19"/>
        <v>0</v>
      </c>
      <c r="O89" s="265">
        <f t="shared" si="16"/>
        <v>0</v>
      </c>
      <c r="P89" s="265">
        <f t="shared" si="17"/>
        <v>0</v>
      </c>
      <c r="Q89" s="530">
        <f t="shared" si="18"/>
        <v>0</v>
      </c>
    </row>
    <row r="90" spans="1:17" ht="12.75" customHeight="1">
      <c r="A90" s="260"/>
      <c r="B90" s="261"/>
      <c r="C90" s="261"/>
      <c r="D90" s="521"/>
      <c r="E90" s="262"/>
      <c r="F90" s="178" t="str">
        <f>"&gt; " &amp; 'TENDERER INPUT DATA'!$D$43</f>
        <v>&gt; 3000</v>
      </c>
      <c r="G90" s="522"/>
      <c r="H90" s="522"/>
      <c r="I90" s="522"/>
      <c r="J90" s="270">
        <f>IF(F90='TENDERER INPUT DATA'!$D$43,(1/100*(G90+(H90*I90))),(1/100*(G90+(H90*I90))*'TENDERER INPUT DATA'!$D$44))</f>
        <v>0</v>
      </c>
      <c r="K90" s="266"/>
      <c r="L90" s="264">
        <f t="shared" si="20"/>
        <v>0</v>
      </c>
      <c r="M90" s="533"/>
      <c r="N90" s="264">
        <f t="shared" si="19"/>
        <v>0</v>
      </c>
      <c r="O90" s="265">
        <f t="shared" si="16"/>
        <v>0</v>
      </c>
      <c r="P90" s="265">
        <f t="shared" si="17"/>
        <v>0</v>
      </c>
      <c r="Q90" s="530">
        <f t="shared" si="18"/>
        <v>0</v>
      </c>
    </row>
    <row r="91" spans="1:17" ht="12.75" customHeight="1">
      <c r="A91" s="260"/>
      <c r="B91" s="261"/>
      <c r="C91" s="261"/>
      <c r="D91" s="521"/>
      <c r="E91" s="262"/>
      <c r="F91" s="178">
        <f>'TENDERER INPUT DATA'!$D$43</f>
        <v>3000</v>
      </c>
      <c r="G91" s="522"/>
      <c r="H91" s="522"/>
      <c r="I91" s="522"/>
      <c r="J91" s="270">
        <f>IF(F91='TENDERER INPUT DATA'!$D$43,(1/100*(G91+(H91*I91))),(1/100*(G91+(H91*I91))*'TENDERER INPUT DATA'!$D$44))</f>
        <v>0</v>
      </c>
      <c r="K91" s="266"/>
      <c r="L91" s="264">
        <f t="shared" si="20"/>
        <v>0</v>
      </c>
      <c r="M91" s="533"/>
      <c r="N91" s="264">
        <f t="shared" si="19"/>
        <v>0</v>
      </c>
      <c r="O91" s="265">
        <f t="shared" si="16"/>
        <v>0</v>
      </c>
      <c r="P91" s="265">
        <f t="shared" si="17"/>
        <v>0</v>
      </c>
      <c r="Q91" s="530">
        <f t="shared" si="18"/>
        <v>0</v>
      </c>
    </row>
    <row r="92" spans="1:17" ht="12.75" customHeight="1">
      <c r="A92" s="260"/>
      <c r="B92" s="261"/>
      <c r="C92" s="261"/>
      <c r="D92" s="521"/>
      <c r="E92" s="262"/>
      <c r="F92" s="178" t="str">
        <f>"&gt; " &amp; 'TENDERER INPUT DATA'!$D$43</f>
        <v>&gt; 3000</v>
      </c>
      <c r="G92" s="522"/>
      <c r="H92" s="522"/>
      <c r="I92" s="522"/>
      <c r="J92" s="270">
        <f>IF(F92='TENDERER INPUT DATA'!$D$43,(1/100*(G92+(H92*I92))),(1/100*(G92+(H92*I92))*'TENDERER INPUT DATA'!$D$44))</f>
        <v>0</v>
      </c>
      <c r="K92" s="266"/>
      <c r="L92" s="264">
        <f t="shared" si="20"/>
        <v>0</v>
      </c>
      <c r="M92" s="533"/>
      <c r="N92" s="264">
        <f t="shared" si="19"/>
        <v>0</v>
      </c>
      <c r="O92" s="265">
        <f t="shared" si="16"/>
        <v>0</v>
      </c>
      <c r="P92" s="265">
        <f t="shared" si="17"/>
        <v>0</v>
      </c>
      <c r="Q92" s="530">
        <f t="shared" si="18"/>
        <v>0</v>
      </c>
    </row>
    <row r="93" spans="1:17" ht="12.75" customHeight="1">
      <c r="A93" s="260"/>
      <c r="B93" s="261"/>
      <c r="C93" s="261"/>
      <c r="D93" s="521"/>
      <c r="E93" s="262"/>
      <c r="F93" s="178">
        <f>'TENDERER INPUT DATA'!$D$43</f>
        <v>3000</v>
      </c>
      <c r="G93" s="522"/>
      <c r="H93" s="522"/>
      <c r="I93" s="522"/>
      <c r="J93" s="270">
        <f>IF(F93='TENDERER INPUT DATA'!$D$43,(1/100*(G93+(H93*I93))),(1/100*(G93+(H93*I93))*'TENDERER INPUT DATA'!$D$44))</f>
        <v>0</v>
      </c>
      <c r="K93" s="266"/>
      <c r="L93" s="264">
        <f t="shared" si="20"/>
        <v>0</v>
      </c>
      <c r="M93" s="533"/>
      <c r="N93" s="264">
        <f t="shared" si="19"/>
        <v>0</v>
      </c>
      <c r="O93" s="265">
        <f t="shared" si="16"/>
        <v>0</v>
      </c>
      <c r="P93" s="265">
        <f t="shared" si="17"/>
        <v>0</v>
      </c>
      <c r="Q93" s="530">
        <f t="shared" si="18"/>
        <v>0</v>
      </c>
    </row>
    <row r="94" spans="1:17" ht="12.75" customHeight="1">
      <c r="A94" s="260"/>
      <c r="B94" s="261"/>
      <c r="C94" s="261"/>
      <c r="D94" s="521"/>
      <c r="E94" s="262"/>
      <c r="F94" s="178" t="str">
        <f>"&gt; " &amp; 'TENDERER INPUT DATA'!$D$43</f>
        <v>&gt; 3000</v>
      </c>
      <c r="G94" s="522"/>
      <c r="H94" s="522"/>
      <c r="I94" s="522"/>
      <c r="J94" s="270">
        <f>IF(F94='TENDERER INPUT DATA'!$D$43,(1/100*(G94+(H94*I94))),(1/100*(G94+(H94*I94))*'TENDERER INPUT DATA'!$D$44))</f>
        <v>0</v>
      </c>
      <c r="K94" s="266"/>
      <c r="L94" s="264">
        <f t="shared" si="20"/>
        <v>0</v>
      </c>
      <c r="M94" s="533"/>
      <c r="N94" s="264">
        <f t="shared" si="19"/>
        <v>0</v>
      </c>
      <c r="O94" s="265">
        <f t="shared" si="16"/>
        <v>0</v>
      </c>
      <c r="P94" s="265">
        <f t="shared" si="17"/>
        <v>0</v>
      </c>
      <c r="Q94" s="530">
        <f t="shared" si="18"/>
        <v>0</v>
      </c>
    </row>
    <row r="95" spans="1:17" ht="12.75" customHeight="1">
      <c r="A95" s="260"/>
      <c r="B95" s="261"/>
      <c r="C95" s="261"/>
      <c r="D95" s="521"/>
      <c r="E95" s="262"/>
      <c r="F95" s="178">
        <f>'TENDERER INPUT DATA'!$D$43</f>
        <v>3000</v>
      </c>
      <c r="G95" s="522"/>
      <c r="H95" s="522"/>
      <c r="I95" s="522"/>
      <c r="J95" s="270">
        <f>IF(F95='TENDERER INPUT DATA'!$D$43,(1/100*(G95+(H95*I95))),(1/100*(G95+(H95*I95))*'TENDERER INPUT DATA'!$D$44))</f>
        <v>0</v>
      </c>
      <c r="K95" s="266"/>
      <c r="L95" s="264">
        <f t="shared" si="20"/>
        <v>0</v>
      </c>
      <c r="M95" s="533"/>
      <c r="N95" s="264">
        <f t="shared" si="19"/>
        <v>0</v>
      </c>
      <c r="O95" s="265">
        <f t="shared" si="16"/>
        <v>0</v>
      </c>
      <c r="P95" s="265">
        <f t="shared" si="17"/>
        <v>0</v>
      </c>
      <c r="Q95" s="530">
        <f t="shared" si="18"/>
        <v>0</v>
      </c>
    </row>
    <row r="96" spans="1:17" ht="12.75" customHeight="1">
      <c r="A96" s="260"/>
      <c r="B96" s="261"/>
      <c r="C96" s="261"/>
      <c r="D96" s="521"/>
      <c r="E96" s="262"/>
      <c r="F96" s="178" t="str">
        <f>"&gt; " &amp; 'TENDERER INPUT DATA'!$D$43</f>
        <v>&gt; 3000</v>
      </c>
      <c r="G96" s="522"/>
      <c r="H96" s="522"/>
      <c r="I96" s="522"/>
      <c r="J96" s="270">
        <f>IF(F96='TENDERER INPUT DATA'!$D$43,(1/100*(G96+(H96*I96))),(1/100*(G96+(H96*I96))*'TENDERER INPUT DATA'!$D$44))</f>
        <v>0</v>
      </c>
      <c r="K96" s="266"/>
      <c r="L96" s="264">
        <f t="shared" si="20"/>
        <v>0</v>
      </c>
      <c r="M96" s="533"/>
      <c r="N96" s="264">
        <f t="shared" si="19"/>
        <v>0</v>
      </c>
      <c r="O96" s="265">
        <f t="shared" si="16"/>
        <v>0</v>
      </c>
      <c r="P96" s="265">
        <f t="shared" si="17"/>
        <v>0</v>
      </c>
      <c r="Q96" s="530">
        <f t="shared" si="18"/>
        <v>0</v>
      </c>
    </row>
    <row r="97" spans="1:17" ht="12.75" customHeight="1">
      <c r="A97" s="260"/>
      <c r="B97" s="261"/>
      <c r="C97" s="261"/>
      <c r="D97" s="521"/>
      <c r="E97" s="262"/>
      <c r="F97" s="178">
        <f>'TENDERER INPUT DATA'!$D$43</f>
        <v>3000</v>
      </c>
      <c r="G97" s="522"/>
      <c r="H97" s="522"/>
      <c r="I97" s="522"/>
      <c r="J97" s="270">
        <f>IF(F97='TENDERER INPUT DATA'!$D$43,(1/100*(G97+(H97*I97))),(1/100*(G97+(H97*I97))*'TENDERER INPUT DATA'!$D$44))</f>
        <v>0</v>
      </c>
      <c r="K97" s="266"/>
      <c r="L97" s="264">
        <f t="shared" si="20"/>
        <v>0</v>
      </c>
      <c r="M97" s="533"/>
      <c r="N97" s="264">
        <f t="shared" si="19"/>
        <v>0</v>
      </c>
      <c r="O97" s="265">
        <f t="shared" si="16"/>
        <v>0</v>
      </c>
      <c r="P97" s="265">
        <f t="shared" si="17"/>
        <v>0</v>
      </c>
      <c r="Q97" s="530">
        <f t="shared" si="18"/>
        <v>0</v>
      </c>
    </row>
    <row r="98" spans="1:17" ht="12.75" customHeight="1">
      <c r="A98" s="260"/>
      <c r="B98" s="261"/>
      <c r="C98" s="261"/>
      <c r="D98" s="521"/>
      <c r="E98" s="262"/>
      <c r="F98" s="178" t="str">
        <f>"&gt; " &amp; 'TENDERER INPUT DATA'!$D$43</f>
        <v>&gt; 3000</v>
      </c>
      <c r="G98" s="522"/>
      <c r="H98" s="522"/>
      <c r="I98" s="522"/>
      <c r="J98" s="270">
        <f>IF(F98='TENDERER INPUT DATA'!$D$43,(1/100*(G98+(H98*I98))),(1/100*(G98+(H98*I98))*'TENDERER INPUT DATA'!$D$44))</f>
        <v>0</v>
      </c>
      <c r="K98" s="266"/>
      <c r="L98" s="264">
        <f t="shared" si="20"/>
        <v>0</v>
      </c>
      <c r="M98" s="533"/>
      <c r="N98" s="264">
        <f t="shared" si="19"/>
        <v>0</v>
      </c>
      <c r="O98" s="265">
        <f t="shared" si="16"/>
        <v>0</v>
      </c>
      <c r="P98" s="265">
        <f t="shared" si="17"/>
        <v>0</v>
      </c>
      <c r="Q98" s="530">
        <f t="shared" si="18"/>
        <v>0</v>
      </c>
    </row>
    <row r="99" spans="1:17" ht="12.75" customHeight="1">
      <c r="A99" s="260"/>
      <c r="B99" s="261"/>
      <c r="C99" s="261"/>
      <c r="D99" s="521"/>
      <c r="E99" s="262"/>
      <c r="F99" s="178">
        <f>'TENDERER INPUT DATA'!$D$43</f>
        <v>3000</v>
      </c>
      <c r="G99" s="522"/>
      <c r="H99" s="522"/>
      <c r="I99" s="522"/>
      <c r="J99" s="270">
        <f>IF(F99='TENDERER INPUT DATA'!$D$43,(1/100*(G99+(H99*I99))),(1/100*(G99+(H99*I99))*'TENDERER INPUT DATA'!$D$44))</f>
        <v>0</v>
      </c>
      <c r="K99" s="266"/>
      <c r="L99" s="264">
        <f t="shared" si="20"/>
        <v>0</v>
      </c>
      <c r="M99" s="533"/>
      <c r="N99" s="264">
        <f t="shared" si="19"/>
        <v>0</v>
      </c>
      <c r="O99" s="265">
        <f t="shared" si="16"/>
        <v>0</v>
      </c>
      <c r="P99" s="265">
        <f t="shared" si="17"/>
        <v>0</v>
      </c>
      <c r="Q99" s="530">
        <f t="shared" si="18"/>
        <v>0</v>
      </c>
    </row>
    <row r="100" spans="1:17" ht="12.75" customHeight="1" thickBot="1">
      <c r="A100" s="523"/>
      <c r="B100" s="524"/>
      <c r="C100" s="524"/>
      <c r="D100" s="525"/>
      <c r="E100" s="526"/>
      <c r="F100" s="178" t="str">
        <f>"&gt; " &amp; 'TENDERER INPUT DATA'!$D$43</f>
        <v>&gt; 3000</v>
      </c>
      <c r="G100" s="527"/>
      <c r="H100" s="527"/>
      <c r="I100" s="527"/>
      <c r="J100" s="270">
        <f>IF(F100='TENDERER INPUT DATA'!$D$43,(1/100*(G100+(H100*I100))),(1/100*(G100+(H100*I100))*'TENDERER INPUT DATA'!$D$44))</f>
        <v>0</v>
      </c>
      <c r="K100" s="528"/>
      <c r="L100" s="267">
        <f t="shared" si="20"/>
        <v>0</v>
      </c>
      <c r="M100" s="534"/>
      <c r="N100" s="267">
        <f t="shared" si="19"/>
        <v>0</v>
      </c>
      <c r="O100" s="529">
        <f t="shared" si="16"/>
        <v>0</v>
      </c>
      <c r="P100" s="529">
        <f t="shared" si="17"/>
        <v>0</v>
      </c>
      <c r="Q100" s="531">
        <f t="shared" si="18"/>
        <v>0</v>
      </c>
    </row>
    <row r="101" spans="1:17" ht="12.75" customHeight="1">
      <c r="A101" s="1375" t="s">
        <v>243</v>
      </c>
      <c r="B101" s="1376"/>
      <c r="C101" s="1376"/>
      <c r="D101" s="1376"/>
      <c r="E101" s="1377"/>
      <c r="F101" s="1372">
        <f>'TENDERER INPUT DATA'!$D$43</f>
        <v>3000</v>
      </c>
      <c r="G101" s="1370"/>
      <c r="H101" s="1370"/>
      <c r="I101" s="1370"/>
      <c r="J101" s="1373"/>
      <c r="K101" s="268">
        <f>SUMIF(F75:F100,F101,K75:K100)</f>
        <v>0</v>
      </c>
      <c r="L101" s="268">
        <f>SUMIF(F75:F100,F101,L75:L100)</f>
        <v>0</v>
      </c>
      <c r="M101" s="268">
        <f>SUMIF(F75:F100,F101,M75:M100)</f>
        <v>0</v>
      </c>
      <c r="N101" s="268">
        <f>SUMIF(F75:F100,F101,N75:N100)</f>
        <v>0</v>
      </c>
      <c r="O101" s="268">
        <f>SUMIF(F75:F100,F101,O75:O100)</f>
        <v>0</v>
      </c>
      <c r="P101" s="268">
        <f>SUMIF(F75:F100,F101,P75:P100)</f>
        <v>0</v>
      </c>
      <c r="Q101" s="269">
        <f>SUMIF(F75:F100,F101,Q75:Q100)</f>
        <v>0</v>
      </c>
    </row>
    <row r="102" spans="1:17" ht="12.75" customHeight="1" thickBot="1">
      <c r="A102" s="1378"/>
      <c r="B102" s="1379"/>
      <c r="C102" s="1379"/>
      <c r="D102" s="1379"/>
      <c r="E102" s="1380"/>
      <c r="F102" s="1381" t="str">
        <f>"&gt; " &amp; 'TENDERER INPUT DATA'!$D$43</f>
        <v>&gt; 3000</v>
      </c>
      <c r="G102" s="1382"/>
      <c r="H102" s="1382"/>
      <c r="I102" s="1382"/>
      <c r="J102" s="1383"/>
      <c r="K102" s="538">
        <f t="shared" ref="K102:Q102" si="21">SUM(K75:K100)-K101</f>
        <v>0</v>
      </c>
      <c r="L102" s="538">
        <f t="shared" si="21"/>
        <v>0</v>
      </c>
      <c r="M102" s="538">
        <f t="shared" si="21"/>
        <v>0</v>
      </c>
      <c r="N102" s="538">
        <f t="shared" si="21"/>
        <v>0</v>
      </c>
      <c r="O102" s="538">
        <f t="shared" si="21"/>
        <v>0</v>
      </c>
      <c r="P102" s="538">
        <f t="shared" si="21"/>
        <v>0</v>
      </c>
      <c r="Q102" s="538">
        <f t="shared" si="21"/>
        <v>0</v>
      </c>
    </row>
    <row r="103" spans="1:17" ht="12.75" customHeight="1" thickBot="1">
      <c r="A103" s="539"/>
      <c r="B103" s="539"/>
      <c r="C103" s="539"/>
      <c r="D103" s="539"/>
      <c r="E103" s="539"/>
      <c r="F103" s="460"/>
      <c r="G103" s="460"/>
      <c r="H103" s="460"/>
      <c r="I103" s="460"/>
      <c r="J103" s="460"/>
      <c r="K103" s="540"/>
      <c r="L103" s="540"/>
      <c r="M103" s="540"/>
      <c r="N103" s="540"/>
      <c r="O103" s="540"/>
      <c r="P103" s="540"/>
      <c r="Q103" s="540"/>
    </row>
    <row r="104" spans="1:17" ht="12.75" customHeight="1">
      <c r="A104" s="237" t="s">
        <v>227</v>
      </c>
      <c r="B104" s="1372" t="s">
        <v>228</v>
      </c>
      <c r="C104" s="1373"/>
      <c r="D104" s="1372" t="s">
        <v>229</v>
      </c>
      <c r="E104" s="1373"/>
      <c r="F104" s="1374" t="s">
        <v>3</v>
      </c>
      <c r="G104" s="1374"/>
      <c r="H104" s="1374"/>
      <c r="I104" s="1374"/>
      <c r="J104" s="1374"/>
      <c r="K104" s="238" t="s">
        <v>230</v>
      </c>
      <c r="L104" s="458" t="s">
        <v>231</v>
      </c>
      <c r="M104" s="1369"/>
      <c r="N104" s="1369"/>
      <c r="O104" s="1369"/>
      <c r="P104" s="1370" t="s">
        <v>232</v>
      </c>
      <c r="Q104" s="1371"/>
    </row>
    <row r="105" spans="1:17" ht="25.5" customHeight="1" thickBot="1">
      <c r="A105" s="239"/>
      <c r="B105" s="240" t="s">
        <v>233</v>
      </c>
      <c r="C105" s="241" t="s">
        <v>234</v>
      </c>
      <c r="D105" s="241" t="s">
        <v>235</v>
      </c>
      <c r="E105" s="241" t="s">
        <v>236</v>
      </c>
      <c r="F105" s="242" t="s">
        <v>230</v>
      </c>
      <c r="G105" s="242"/>
      <c r="H105" s="242"/>
      <c r="I105" s="242"/>
      <c r="J105" s="243" t="s">
        <v>237</v>
      </c>
      <c r="K105" s="244" t="s">
        <v>238</v>
      </c>
      <c r="L105" s="245"/>
      <c r="M105" s="246" t="s">
        <v>230</v>
      </c>
      <c r="N105" s="246" t="s">
        <v>239</v>
      </c>
      <c r="O105" s="247" t="s">
        <v>231</v>
      </c>
      <c r="P105" s="247" t="s">
        <v>230</v>
      </c>
      <c r="Q105" s="248" t="s">
        <v>231</v>
      </c>
    </row>
    <row r="106" spans="1:17" ht="13.8">
      <c r="A106" s="250"/>
      <c r="B106" s="251"/>
      <c r="C106" s="252"/>
      <c r="D106" s="252"/>
      <c r="E106" s="253"/>
      <c r="F106" s="253"/>
      <c r="G106" s="254" t="s">
        <v>240</v>
      </c>
      <c r="H106" s="254" t="s">
        <v>241</v>
      </c>
      <c r="I106" s="254" t="s">
        <v>242</v>
      </c>
      <c r="J106" s="255"/>
      <c r="K106" s="256"/>
      <c r="L106" s="257"/>
      <c r="M106" s="1387" t="s">
        <v>213</v>
      </c>
      <c r="N106" s="1388"/>
      <c r="O106" s="1389"/>
      <c r="P106" s="258"/>
      <c r="Q106" s="259"/>
    </row>
    <row r="107" spans="1:17">
      <c r="A107" s="260"/>
      <c r="B107" s="261"/>
      <c r="C107" s="261"/>
      <c r="D107" s="521"/>
      <c r="E107" s="262"/>
      <c r="F107" s="178">
        <f>'TENDERER INPUT DATA'!$D$43</f>
        <v>3000</v>
      </c>
      <c r="G107" s="522"/>
      <c r="H107" s="522"/>
      <c r="I107" s="522"/>
      <c r="J107" s="270">
        <f>IF(F107='TENDERER INPUT DATA'!$D$43,(1/100*(G107+(H107*I107))),(1/100*(G107+(H107*I107))*'TENDERER INPUT DATA'!$D$44))</f>
        <v>0</v>
      </c>
      <c r="K107" s="263"/>
      <c r="L107" s="264">
        <f>ROUND(J107*K107,2)</f>
        <v>0</v>
      </c>
      <c r="M107" s="532"/>
      <c r="N107" s="264">
        <f>+M107</f>
        <v>0</v>
      </c>
      <c r="O107" s="265">
        <f t="shared" ref="O107:O132" si="22">N107*J107</f>
        <v>0</v>
      </c>
      <c r="P107" s="265">
        <f t="shared" ref="P107:P132" si="23">K107+N107</f>
        <v>0</v>
      </c>
      <c r="Q107" s="530">
        <f t="shared" ref="Q107:Q132" si="24">L107+O107</f>
        <v>0</v>
      </c>
    </row>
    <row r="108" spans="1:17">
      <c r="A108" s="260"/>
      <c r="B108" s="261"/>
      <c r="C108" s="261"/>
      <c r="D108" s="521"/>
      <c r="E108" s="262"/>
      <c r="F108" s="178" t="str">
        <f>"&gt; " &amp; 'TENDERER INPUT DATA'!$D$43</f>
        <v>&gt; 3000</v>
      </c>
      <c r="G108" s="522"/>
      <c r="H108" s="522"/>
      <c r="I108" s="522"/>
      <c r="J108" s="270">
        <f>IF(F108='TENDERER INPUT DATA'!$D$43,(1/100*(G108+(H108*I108))),(1/100*(G108+(H108*I108))*'TENDERER INPUT DATA'!$D$44))</f>
        <v>0</v>
      </c>
      <c r="K108" s="266"/>
      <c r="L108" s="264">
        <f>ROUND(J108*K108,2)</f>
        <v>0</v>
      </c>
      <c r="M108" s="533"/>
      <c r="N108" s="264">
        <f t="shared" ref="N108:N132" si="25">+M108</f>
        <v>0</v>
      </c>
      <c r="O108" s="265">
        <f t="shared" si="22"/>
        <v>0</v>
      </c>
      <c r="P108" s="265">
        <f t="shared" si="23"/>
        <v>0</v>
      </c>
      <c r="Q108" s="530">
        <f t="shared" si="24"/>
        <v>0</v>
      </c>
    </row>
    <row r="109" spans="1:17">
      <c r="A109" s="260"/>
      <c r="B109" s="261"/>
      <c r="C109" s="261"/>
      <c r="D109" s="521"/>
      <c r="E109" s="262"/>
      <c r="F109" s="178">
        <f>'TENDERER INPUT DATA'!$D$43</f>
        <v>3000</v>
      </c>
      <c r="G109" s="522"/>
      <c r="H109" s="522"/>
      <c r="I109" s="522"/>
      <c r="J109" s="270">
        <f>IF(F109='TENDERER INPUT DATA'!$D$43,(1/100*(G109+(H109*I109))),(1/100*(G109+(H109*I109))*'TENDERER INPUT DATA'!$D$44))</f>
        <v>0</v>
      </c>
      <c r="K109" s="266"/>
      <c r="L109" s="264">
        <f>ROUND(J109*K109,2)</f>
        <v>0</v>
      </c>
      <c r="M109" s="533"/>
      <c r="N109" s="264">
        <f t="shared" si="25"/>
        <v>0</v>
      </c>
      <c r="O109" s="265">
        <f t="shared" si="22"/>
        <v>0</v>
      </c>
      <c r="P109" s="265">
        <f t="shared" si="23"/>
        <v>0</v>
      </c>
      <c r="Q109" s="530">
        <f t="shared" si="24"/>
        <v>0</v>
      </c>
    </row>
    <row r="110" spans="1:17">
      <c r="A110" s="260"/>
      <c r="B110" s="261"/>
      <c r="C110" s="261"/>
      <c r="D110" s="521"/>
      <c r="E110" s="262"/>
      <c r="F110" s="178" t="str">
        <f>"&gt; " &amp; 'TENDERER INPUT DATA'!$D$43</f>
        <v>&gt; 3000</v>
      </c>
      <c r="G110" s="522"/>
      <c r="H110" s="522"/>
      <c r="I110" s="522"/>
      <c r="J110" s="270">
        <f>IF(F110='TENDERER INPUT DATA'!$D$43,(1/100*(G110+(H110*I110))),(1/100*(G110+(H110*I110))*'TENDERER INPUT DATA'!$D$44))</f>
        <v>0</v>
      </c>
      <c r="K110" s="266"/>
      <c r="L110" s="264">
        <f>ROUND(J110*K110,2)</f>
        <v>0</v>
      </c>
      <c r="M110" s="533"/>
      <c r="N110" s="264">
        <f t="shared" si="25"/>
        <v>0</v>
      </c>
      <c r="O110" s="265">
        <f t="shared" si="22"/>
        <v>0</v>
      </c>
      <c r="P110" s="265">
        <f t="shared" si="23"/>
        <v>0</v>
      </c>
      <c r="Q110" s="530">
        <f t="shared" si="24"/>
        <v>0</v>
      </c>
    </row>
    <row r="111" spans="1:17">
      <c r="A111" s="260"/>
      <c r="B111" s="261"/>
      <c r="C111" s="261"/>
      <c r="D111" s="521"/>
      <c r="E111" s="262"/>
      <c r="F111" s="178">
        <f>'TENDERER INPUT DATA'!$D$43</f>
        <v>3000</v>
      </c>
      <c r="G111" s="522"/>
      <c r="H111" s="522"/>
      <c r="I111" s="522"/>
      <c r="J111" s="270">
        <f>IF(F111='TENDERER INPUT DATA'!$D$43,(1/100*(G111+(H111*I111))),(1/100*(G111+(H111*I111))*'TENDERER INPUT DATA'!$D$44))</f>
        <v>0</v>
      </c>
      <c r="K111" s="266"/>
      <c r="L111" s="264">
        <f>ROUND(J111*K111,2)</f>
        <v>0</v>
      </c>
      <c r="M111" s="533"/>
      <c r="N111" s="264">
        <f t="shared" si="25"/>
        <v>0</v>
      </c>
      <c r="O111" s="265">
        <f t="shared" si="22"/>
        <v>0</v>
      </c>
      <c r="P111" s="265">
        <f t="shared" si="23"/>
        <v>0</v>
      </c>
      <c r="Q111" s="530">
        <f t="shared" si="24"/>
        <v>0</v>
      </c>
    </row>
    <row r="112" spans="1:17">
      <c r="A112" s="260"/>
      <c r="B112" s="261"/>
      <c r="C112" s="261"/>
      <c r="D112" s="521"/>
      <c r="E112" s="262"/>
      <c r="F112" s="178" t="str">
        <f>"&gt; " &amp; 'TENDERER INPUT DATA'!$D$43</f>
        <v>&gt; 3000</v>
      </c>
      <c r="G112" s="522"/>
      <c r="H112" s="522"/>
      <c r="I112" s="522"/>
      <c r="J112" s="270">
        <f>IF(F112='TENDERER INPUT DATA'!$D$43,(1/100*(G112+(H112*I112))),(1/100*(G112+(H112*I112))*'TENDERER INPUT DATA'!$D$44))</f>
        <v>0</v>
      </c>
      <c r="K112" s="266"/>
      <c r="L112" s="264">
        <f t="shared" ref="L112:L132" si="26">ROUND(J112*K112,2)</f>
        <v>0</v>
      </c>
      <c r="M112" s="533"/>
      <c r="N112" s="264">
        <f t="shared" si="25"/>
        <v>0</v>
      </c>
      <c r="O112" s="265">
        <f t="shared" si="22"/>
        <v>0</v>
      </c>
      <c r="P112" s="265">
        <f t="shared" si="23"/>
        <v>0</v>
      </c>
      <c r="Q112" s="530">
        <f t="shared" si="24"/>
        <v>0</v>
      </c>
    </row>
    <row r="113" spans="1:17">
      <c r="A113" s="260"/>
      <c r="B113" s="261"/>
      <c r="C113" s="261"/>
      <c r="D113" s="521"/>
      <c r="E113" s="262"/>
      <c r="F113" s="178">
        <f>'TENDERER INPUT DATA'!$D$43</f>
        <v>3000</v>
      </c>
      <c r="G113" s="522"/>
      <c r="H113" s="522"/>
      <c r="I113" s="522"/>
      <c r="J113" s="270">
        <f>IF(F113='TENDERER INPUT DATA'!$D$43,(1/100*(G113+(H113*I113))),(1/100*(G113+(H113*I113))*'TENDERER INPUT DATA'!$D$44))</f>
        <v>0</v>
      </c>
      <c r="K113" s="266"/>
      <c r="L113" s="264">
        <f t="shared" si="26"/>
        <v>0</v>
      </c>
      <c r="M113" s="533"/>
      <c r="N113" s="264">
        <f t="shared" si="25"/>
        <v>0</v>
      </c>
      <c r="O113" s="265">
        <f t="shared" si="22"/>
        <v>0</v>
      </c>
      <c r="P113" s="265">
        <f t="shared" si="23"/>
        <v>0</v>
      </c>
      <c r="Q113" s="530">
        <f t="shared" si="24"/>
        <v>0</v>
      </c>
    </row>
    <row r="114" spans="1:17">
      <c r="A114" s="260"/>
      <c r="B114" s="261"/>
      <c r="C114" s="261"/>
      <c r="D114" s="521"/>
      <c r="E114" s="262"/>
      <c r="F114" s="178" t="str">
        <f>"&gt; " &amp; 'TENDERER INPUT DATA'!$D$43</f>
        <v>&gt; 3000</v>
      </c>
      <c r="G114" s="522"/>
      <c r="H114" s="522"/>
      <c r="I114" s="522"/>
      <c r="J114" s="270">
        <f>IF(F114='TENDERER INPUT DATA'!$D$43,(1/100*(G114+(H114*I114))),(1/100*(G114+(H114*I114))*'TENDERER INPUT DATA'!$D$44))</f>
        <v>0</v>
      </c>
      <c r="K114" s="266"/>
      <c r="L114" s="264">
        <f t="shared" si="26"/>
        <v>0</v>
      </c>
      <c r="M114" s="533"/>
      <c r="N114" s="264">
        <f t="shared" si="25"/>
        <v>0</v>
      </c>
      <c r="O114" s="265">
        <f t="shared" si="22"/>
        <v>0</v>
      </c>
      <c r="P114" s="265">
        <f t="shared" si="23"/>
        <v>0</v>
      </c>
      <c r="Q114" s="530">
        <f t="shared" si="24"/>
        <v>0</v>
      </c>
    </row>
    <row r="115" spans="1:17">
      <c r="A115" s="260"/>
      <c r="B115" s="261"/>
      <c r="C115" s="261"/>
      <c r="D115" s="521"/>
      <c r="E115" s="262"/>
      <c r="F115" s="178">
        <f>'TENDERER INPUT DATA'!$D$43</f>
        <v>3000</v>
      </c>
      <c r="G115" s="522"/>
      <c r="H115" s="522"/>
      <c r="I115" s="522"/>
      <c r="J115" s="270">
        <f>IF(F115='TENDERER INPUT DATA'!$D$43,(1/100*(G115+(H115*I115))),(1/100*(G115+(H115*I115))*'TENDERER INPUT DATA'!$D$44))</f>
        <v>0</v>
      </c>
      <c r="K115" s="266"/>
      <c r="L115" s="264">
        <f t="shared" si="26"/>
        <v>0</v>
      </c>
      <c r="M115" s="533"/>
      <c r="N115" s="264">
        <f t="shared" si="25"/>
        <v>0</v>
      </c>
      <c r="O115" s="265">
        <f t="shared" si="22"/>
        <v>0</v>
      </c>
      <c r="P115" s="265">
        <f t="shared" si="23"/>
        <v>0</v>
      </c>
      <c r="Q115" s="530">
        <f t="shared" si="24"/>
        <v>0</v>
      </c>
    </row>
    <row r="116" spans="1:17">
      <c r="A116" s="260"/>
      <c r="B116" s="261"/>
      <c r="C116" s="261"/>
      <c r="D116" s="521"/>
      <c r="E116" s="262"/>
      <c r="F116" s="178" t="str">
        <f>"&gt; " &amp; 'TENDERER INPUT DATA'!$D$43</f>
        <v>&gt; 3000</v>
      </c>
      <c r="G116" s="522"/>
      <c r="H116" s="522"/>
      <c r="I116" s="522"/>
      <c r="J116" s="270">
        <f>IF(F116='TENDERER INPUT DATA'!$D$43,(1/100*(G116+(H116*I116))),(1/100*(G116+(H116*I116))*'TENDERER INPUT DATA'!$D$44))</f>
        <v>0</v>
      </c>
      <c r="K116" s="266"/>
      <c r="L116" s="264">
        <f t="shared" si="26"/>
        <v>0</v>
      </c>
      <c r="M116" s="533"/>
      <c r="N116" s="264">
        <f t="shared" si="25"/>
        <v>0</v>
      </c>
      <c r="O116" s="265">
        <f t="shared" si="22"/>
        <v>0</v>
      </c>
      <c r="P116" s="265">
        <f t="shared" si="23"/>
        <v>0</v>
      </c>
      <c r="Q116" s="530">
        <f t="shared" si="24"/>
        <v>0</v>
      </c>
    </row>
    <row r="117" spans="1:17">
      <c r="A117" s="260"/>
      <c r="B117" s="261"/>
      <c r="C117" s="261"/>
      <c r="D117" s="521"/>
      <c r="E117" s="262"/>
      <c r="F117" s="178">
        <f>'TENDERER INPUT DATA'!$D$43</f>
        <v>3000</v>
      </c>
      <c r="G117" s="522"/>
      <c r="H117" s="522"/>
      <c r="I117" s="522"/>
      <c r="J117" s="270">
        <f>IF(F117='TENDERER INPUT DATA'!$D$43,(1/100*(G117+(H117*I117))),(1/100*(G117+(H117*I117))*'TENDERER INPUT DATA'!$D$44))</f>
        <v>0</v>
      </c>
      <c r="K117" s="266"/>
      <c r="L117" s="264">
        <f t="shared" si="26"/>
        <v>0</v>
      </c>
      <c r="M117" s="533"/>
      <c r="N117" s="264">
        <f t="shared" si="25"/>
        <v>0</v>
      </c>
      <c r="O117" s="265">
        <f t="shared" si="22"/>
        <v>0</v>
      </c>
      <c r="P117" s="265">
        <f t="shared" si="23"/>
        <v>0</v>
      </c>
      <c r="Q117" s="530">
        <f t="shared" si="24"/>
        <v>0</v>
      </c>
    </row>
    <row r="118" spans="1:17">
      <c r="A118" s="260"/>
      <c r="B118" s="261"/>
      <c r="C118" s="261"/>
      <c r="D118" s="521"/>
      <c r="E118" s="262"/>
      <c r="F118" s="178" t="str">
        <f>"&gt; " &amp; 'TENDERER INPUT DATA'!$D$43</f>
        <v>&gt; 3000</v>
      </c>
      <c r="G118" s="522"/>
      <c r="H118" s="522"/>
      <c r="I118" s="522"/>
      <c r="J118" s="270">
        <f>IF(F118='TENDERER INPUT DATA'!$D$43,(1/100*(G118+(H118*I118))),(1/100*(G118+(H118*I118))*'TENDERER INPUT DATA'!$D$44))</f>
        <v>0</v>
      </c>
      <c r="K118" s="266"/>
      <c r="L118" s="264">
        <f t="shared" si="26"/>
        <v>0</v>
      </c>
      <c r="M118" s="533"/>
      <c r="N118" s="264">
        <f t="shared" si="25"/>
        <v>0</v>
      </c>
      <c r="O118" s="265">
        <f t="shared" si="22"/>
        <v>0</v>
      </c>
      <c r="P118" s="265">
        <f t="shared" si="23"/>
        <v>0</v>
      </c>
      <c r="Q118" s="530">
        <f t="shared" si="24"/>
        <v>0</v>
      </c>
    </row>
    <row r="119" spans="1:17">
      <c r="A119" s="260"/>
      <c r="B119" s="261"/>
      <c r="C119" s="261"/>
      <c r="D119" s="521"/>
      <c r="E119" s="262"/>
      <c r="F119" s="178">
        <f>'TENDERER INPUT DATA'!$D$43</f>
        <v>3000</v>
      </c>
      <c r="G119" s="522"/>
      <c r="H119" s="522"/>
      <c r="I119" s="522"/>
      <c r="J119" s="270">
        <f>IF(F119='TENDERER INPUT DATA'!$D$43,(1/100*(G119+(H119*I119))),(1/100*(G119+(H119*I119))*'TENDERER INPUT DATA'!$D$44))</f>
        <v>0</v>
      </c>
      <c r="K119" s="266"/>
      <c r="L119" s="264">
        <f t="shared" si="26"/>
        <v>0</v>
      </c>
      <c r="M119" s="533"/>
      <c r="N119" s="264">
        <f t="shared" si="25"/>
        <v>0</v>
      </c>
      <c r="O119" s="265">
        <f t="shared" si="22"/>
        <v>0</v>
      </c>
      <c r="P119" s="265">
        <f t="shared" si="23"/>
        <v>0</v>
      </c>
      <c r="Q119" s="530">
        <f t="shared" si="24"/>
        <v>0</v>
      </c>
    </row>
    <row r="120" spans="1:17">
      <c r="A120" s="260"/>
      <c r="B120" s="261"/>
      <c r="C120" s="261"/>
      <c r="D120" s="521"/>
      <c r="E120" s="262"/>
      <c r="F120" s="178" t="str">
        <f>"&gt; " &amp; 'TENDERER INPUT DATA'!$D$43</f>
        <v>&gt; 3000</v>
      </c>
      <c r="G120" s="522"/>
      <c r="H120" s="522"/>
      <c r="I120" s="522"/>
      <c r="J120" s="270">
        <f>IF(F120='TENDERER INPUT DATA'!$D$43,(1/100*(G120+(H120*I120))),(1/100*(G120+(H120*I120))*'TENDERER INPUT DATA'!$D$44))</f>
        <v>0</v>
      </c>
      <c r="K120" s="266"/>
      <c r="L120" s="264">
        <f t="shared" si="26"/>
        <v>0</v>
      </c>
      <c r="M120" s="533"/>
      <c r="N120" s="264">
        <f t="shared" si="25"/>
        <v>0</v>
      </c>
      <c r="O120" s="265">
        <f t="shared" si="22"/>
        <v>0</v>
      </c>
      <c r="P120" s="265">
        <f t="shared" si="23"/>
        <v>0</v>
      </c>
      <c r="Q120" s="530">
        <f t="shared" si="24"/>
        <v>0</v>
      </c>
    </row>
    <row r="121" spans="1:17">
      <c r="A121" s="260"/>
      <c r="B121" s="261"/>
      <c r="C121" s="261"/>
      <c r="D121" s="521"/>
      <c r="E121" s="262"/>
      <c r="F121" s="178">
        <f>'TENDERER INPUT DATA'!$D$43</f>
        <v>3000</v>
      </c>
      <c r="G121" s="522"/>
      <c r="H121" s="522"/>
      <c r="I121" s="522"/>
      <c r="J121" s="270">
        <f>IF(F121='TENDERER INPUT DATA'!$D$43,(1/100*(G121+(H121*I121))),(1/100*(G121+(H121*I121))*'TENDERER INPUT DATA'!$D$44))</f>
        <v>0</v>
      </c>
      <c r="K121" s="266"/>
      <c r="L121" s="264">
        <f t="shared" si="26"/>
        <v>0</v>
      </c>
      <c r="M121" s="533"/>
      <c r="N121" s="264">
        <f t="shared" si="25"/>
        <v>0</v>
      </c>
      <c r="O121" s="265">
        <f t="shared" si="22"/>
        <v>0</v>
      </c>
      <c r="P121" s="265">
        <f t="shared" si="23"/>
        <v>0</v>
      </c>
      <c r="Q121" s="530">
        <f t="shared" si="24"/>
        <v>0</v>
      </c>
    </row>
    <row r="122" spans="1:17">
      <c r="A122" s="260"/>
      <c r="B122" s="261"/>
      <c r="C122" s="261"/>
      <c r="D122" s="521"/>
      <c r="E122" s="262"/>
      <c r="F122" s="178" t="str">
        <f>"&gt; " &amp; 'TENDERER INPUT DATA'!$D$43</f>
        <v>&gt; 3000</v>
      </c>
      <c r="G122" s="522"/>
      <c r="H122" s="522"/>
      <c r="I122" s="522"/>
      <c r="J122" s="270">
        <f>IF(F122='TENDERER INPUT DATA'!$D$43,(1/100*(G122+(H122*I122))),(1/100*(G122+(H122*I122))*'TENDERER INPUT DATA'!$D$44))</f>
        <v>0</v>
      </c>
      <c r="K122" s="266"/>
      <c r="L122" s="264">
        <f t="shared" si="26"/>
        <v>0</v>
      </c>
      <c r="M122" s="533"/>
      <c r="N122" s="264">
        <f t="shared" si="25"/>
        <v>0</v>
      </c>
      <c r="O122" s="265">
        <f t="shared" si="22"/>
        <v>0</v>
      </c>
      <c r="P122" s="265">
        <f t="shared" si="23"/>
        <v>0</v>
      </c>
      <c r="Q122" s="530">
        <f t="shared" si="24"/>
        <v>0</v>
      </c>
    </row>
    <row r="123" spans="1:17">
      <c r="A123" s="260"/>
      <c r="B123" s="261"/>
      <c r="C123" s="261"/>
      <c r="D123" s="521"/>
      <c r="E123" s="262"/>
      <c r="F123" s="178">
        <f>'TENDERER INPUT DATA'!$D$43</f>
        <v>3000</v>
      </c>
      <c r="G123" s="522"/>
      <c r="H123" s="522"/>
      <c r="I123" s="522"/>
      <c r="J123" s="270">
        <f>IF(F123='TENDERER INPUT DATA'!$D$43,(1/100*(G123+(H123*I123))),(1/100*(G123+(H123*I123))*'TENDERER INPUT DATA'!$D$44))</f>
        <v>0</v>
      </c>
      <c r="K123" s="266"/>
      <c r="L123" s="264">
        <f t="shared" si="26"/>
        <v>0</v>
      </c>
      <c r="M123" s="533"/>
      <c r="N123" s="264">
        <f t="shared" si="25"/>
        <v>0</v>
      </c>
      <c r="O123" s="265">
        <f t="shared" si="22"/>
        <v>0</v>
      </c>
      <c r="P123" s="265">
        <f t="shared" si="23"/>
        <v>0</v>
      </c>
      <c r="Q123" s="530">
        <f t="shared" si="24"/>
        <v>0</v>
      </c>
    </row>
    <row r="124" spans="1:17">
      <c r="A124" s="260"/>
      <c r="B124" s="261"/>
      <c r="C124" s="261"/>
      <c r="D124" s="521"/>
      <c r="E124" s="262"/>
      <c r="F124" s="178" t="str">
        <f>"&gt; " &amp; 'TENDERER INPUT DATA'!$D$43</f>
        <v>&gt; 3000</v>
      </c>
      <c r="G124" s="522"/>
      <c r="H124" s="522"/>
      <c r="I124" s="522"/>
      <c r="J124" s="270">
        <f>IF(F124='TENDERER INPUT DATA'!$D$43,(1/100*(G124+(H124*I124))),(1/100*(G124+(H124*I124))*'TENDERER INPUT DATA'!$D$44))</f>
        <v>0</v>
      </c>
      <c r="K124" s="266"/>
      <c r="L124" s="264">
        <f t="shared" si="26"/>
        <v>0</v>
      </c>
      <c r="M124" s="533"/>
      <c r="N124" s="264">
        <f t="shared" si="25"/>
        <v>0</v>
      </c>
      <c r="O124" s="265">
        <f t="shared" si="22"/>
        <v>0</v>
      </c>
      <c r="P124" s="265">
        <f t="shared" si="23"/>
        <v>0</v>
      </c>
      <c r="Q124" s="530">
        <f t="shared" si="24"/>
        <v>0</v>
      </c>
    </row>
    <row r="125" spans="1:17">
      <c r="A125" s="260"/>
      <c r="B125" s="261"/>
      <c r="C125" s="261"/>
      <c r="D125" s="521"/>
      <c r="E125" s="262"/>
      <c r="F125" s="178">
        <f>'TENDERER INPUT DATA'!$D$43</f>
        <v>3000</v>
      </c>
      <c r="G125" s="522"/>
      <c r="H125" s="522"/>
      <c r="I125" s="522"/>
      <c r="J125" s="270">
        <f>IF(F125='TENDERER INPUT DATA'!$D$43,(1/100*(G125+(H125*I125))),(1/100*(G125+(H125*I125))*'TENDERER INPUT DATA'!$D$44))</f>
        <v>0</v>
      </c>
      <c r="K125" s="266"/>
      <c r="L125" s="264">
        <f t="shared" si="26"/>
        <v>0</v>
      </c>
      <c r="M125" s="533"/>
      <c r="N125" s="264">
        <f t="shared" si="25"/>
        <v>0</v>
      </c>
      <c r="O125" s="265">
        <f t="shared" si="22"/>
        <v>0</v>
      </c>
      <c r="P125" s="265">
        <f t="shared" si="23"/>
        <v>0</v>
      </c>
      <c r="Q125" s="530">
        <f t="shared" si="24"/>
        <v>0</v>
      </c>
    </row>
    <row r="126" spans="1:17">
      <c r="A126" s="260"/>
      <c r="B126" s="261"/>
      <c r="C126" s="261"/>
      <c r="D126" s="521"/>
      <c r="E126" s="262"/>
      <c r="F126" s="178" t="str">
        <f>"&gt; " &amp; 'TENDERER INPUT DATA'!$D$43</f>
        <v>&gt; 3000</v>
      </c>
      <c r="G126" s="522"/>
      <c r="H126" s="522"/>
      <c r="I126" s="522"/>
      <c r="J126" s="270">
        <f>IF(F126='TENDERER INPUT DATA'!$D$43,(1/100*(G126+(H126*I126))),(1/100*(G126+(H126*I126))*'TENDERER INPUT DATA'!$D$44))</f>
        <v>0</v>
      </c>
      <c r="K126" s="266"/>
      <c r="L126" s="264">
        <f t="shared" si="26"/>
        <v>0</v>
      </c>
      <c r="M126" s="533"/>
      <c r="N126" s="264">
        <f t="shared" si="25"/>
        <v>0</v>
      </c>
      <c r="O126" s="265">
        <f t="shared" si="22"/>
        <v>0</v>
      </c>
      <c r="P126" s="265">
        <f t="shared" si="23"/>
        <v>0</v>
      </c>
      <c r="Q126" s="530">
        <f t="shared" si="24"/>
        <v>0</v>
      </c>
    </row>
    <row r="127" spans="1:17">
      <c r="A127" s="260"/>
      <c r="B127" s="261"/>
      <c r="C127" s="261"/>
      <c r="D127" s="521"/>
      <c r="E127" s="262"/>
      <c r="F127" s="178">
        <f>'TENDERER INPUT DATA'!$D$43</f>
        <v>3000</v>
      </c>
      <c r="G127" s="522"/>
      <c r="H127" s="522"/>
      <c r="I127" s="522"/>
      <c r="J127" s="270">
        <f>IF(F127='TENDERER INPUT DATA'!$D$43,(1/100*(G127+(H127*I127))),(1/100*(G127+(H127*I127))*'TENDERER INPUT DATA'!$D$44))</f>
        <v>0</v>
      </c>
      <c r="K127" s="266"/>
      <c r="L127" s="264">
        <f t="shared" si="26"/>
        <v>0</v>
      </c>
      <c r="M127" s="533"/>
      <c r="N127" s="264">
        <f t="shared" si="25"/>
        <v>0</v>
      </c>
      <c r="O127" s="265">
        <f t="shared" si="22"/>
        <v>0</v>
      </c>
      <c r="P127" s="265">
        <f t="shared" si="23"/>
        <v>0</v>
      </c>
      <c r="Q127" s="530">
        <f t="shared" si="24"/>
        <v>0</v>
      </c>
    </row>
    <row r="128" spans="1:17">
      <c r="A128" s="260"/>
      <c r="B128" s="261"/>
      <c r="C128" s="261"/>
      <c r="D128" s="521"/>
      <c r="E128" s="262"/>
      <c r="F128" s="178" t="str">
        <f>"&gt; " &amp; 'TENDERER INPUT DATA'!$D$43</f>
        <v>&gt; 3000</v>
      </c>
      <c r="G128" s="522"/>
      <c r="H128" s="522"/>
      <c r="I128" s="522"/>
      <c r="J128" s="270">
        <f>IF(F128='TENDERER INPUT DATA'!$D$43,(1/100*(G128+(H128*I128))),(1/100*(G128+(H128*I128))*'TENDERER INPUT DATA'!$D$44))</f>
        <v>0</v>
      </c>
      <c r="K128" s="266"/>
      <c r="L128" s="264">
        <f t="shared" si="26"/>
        <v>0</v>
      </c>
      <c r="M128" s="533"/>
      <c r="N128" s="264">
        <f t="shared" si="25"/>
        <v>0</v>
      </c>
      <c r="O128" s="265">
        <f t="shared" si="22"/>
        <v>0</v>
      </c>
      <c r="P128" s="265">
        <f t="shared" si="23"/>
        <v>0</v>
      </c>
      <c r="Q128" s="530">
        <f t="shared" si="24"/>
        <v>0</v>
      </c>
    </row>
    <row r="129" spans="1:17">
      <c r="A129" s="260"/>
      <c r="B129" s="261"/>
      <c r="C129" s="261"/>
      <c r="D129" s="521"/>
      <c r="E129" s="262"/>
      <c r="F129" s="178">
        <f>'TENDERER INPUT DATA'!$D$43</f>
        <v>3000</v>
      </c>
      <c r="G129" s="522"/>
      <c r="H129" s="522"/>
      <c r="I129" s="522"/>
      <c r="J129" s="270">
        <f>IF(F129='TENDERER INPUT DATA'!$D$43,(1/100*(G129+(H129*I129))),(1/100*(G129+(H129*I129))*'TENDERER INPUT DATA'!$D$44))</f>
        <v>0</v>
      </c>
      <c r="K129" s="266"/>
      <c r="L129" s="264">
        <f t="shared" si="26"/>
        <v>0</v>
      </c>
      <c r="M129" s="533"/>
      <c r="N129" s="264">
        <f t="shared" si="25"/>
        <v>0</v>
      </c>
      <c r="O129" s="265">
        <f t="shared" si="22"/>
        <v>0</v>
      </c>
      <c r="P129" s="265">
        <f t="shared" si="23"/>
        <v>0</v>
      </c>
      <c r="Q129" s="530">
        <f t="shared" si="24"/>
        <v>0</v>
      </c>
    </row>
    <row r="130" spans="1:17">
      <c r="A130" s="260"/>
      <c r="B130" s="261"/>
      <c r="C130" s="261"/>
      <c r="D130" s="521"/>
      <c r="E130" s="262"/>
      <c r="F130" s="178" t="str">
        <f>"&gt; " &amp; 'TENDERER INPUT DATA'!$D$43</f>
        <v>&gt; 3000</v>
      </c>
      <c r="G130" s="522"/>
      <c r="H130" s="522"/>
      <c r="I130" s="522"/>
      <c r="J130" s="270">
        <f>IF(F130='TENDERER INPUT DATA'!$D$43,(1/100*(G130+(H130*I130))),(1/100*(G130+(H130*I130))*'TENDERER INPUT DATA'!$D$44))</f>
        <v>0</v>
      </c>
      <c r="K130" s="266"/>
      <c r="L130" s="264">
        <f t="shared" si="26"/>
        <v>0</v>
      </c>
      <c r="M130" s="533"/>
      <c r="N130" s="264">
        <f t="shared" si="25"/>
        <v>0</v>
      </c>
      <c r="O130" s="265">
        <f t="shared" si="22"/>
        <v>0</v>
      </c>
      <c r="P130" s="265">
        <f t="shared" si="23"/>
        <v>0</v>
      </c>
      <c r="Q130" s="530">
        <f t="shared" si="24"/>
        <v>0</v>
      </c>
    </row>
    <row r="131" spans="1:17">
      <c r="A131" s="260"/>
      <c r="B131" s="261"/>
      <c r="C131" s="261"/>
      <c r="D131" s="521"/>
      <c r="E131" s="262"/>
      <c r="F131" s="178">
        <f>'TENDERER INPUT DATA'!$D$43</f>
        <v>3000</v>
      </c>
      <c r="G131" s="522"/>
      <c r="H131" s="522"/>
      <c r="I131" s="522"/>
      <c r="J131" s="270">
        <f>IF(F131='TENDERER INPUT DATA'!$D$43,(1/100*(G131+(H131*I131))),(1/100*(G131+(H131*I131))*'TENDERER INPUT DATA'!$D$44))</f>
        <v>0</v>
      </c>
      <c r="K131" s="266"/>
      <c r="L131" s="264">
        <f t="shared" si="26"/>
        <v>0</v>
      </c>
      <c r="M131" s="533"/>
      <c r="N131" s="264">
        <f t="shared" si="25"/>
        <v>0</v>
      </c>
      <c r="O131" s="265">
        <f t="shared" si="22"/>
        <v>0</v>
      </c>
      <c r="P131" s="265">
        <f t="shared" si="23"/>
        <v>0</v>
      </c>
      <c r="Q131" s="530">
        <f t="shared" si="24"/>
        <v>0</v>
      </c>
    </row>
    <row r="132" spans="1:17" ht="13.8" thickBot="1">
      <c r="A132" s="523"/>
      <c r="B132" s="524"/>
      <c r="C132" s="524"/>
      <c r="D132" s="525"/>
      <c r="E132" s="526"/>
      <c r="F132" s="178" t="str">
        <f>"&gt; " &amp; 'TENDERER INPUT DATA'!$D$43</f>
        <v>&gt; 3000</v>
      </c>
      <c r="G132" s="527"/>
      <c r="H132" s="527"/>
      <c r="I132" s="527"/>
      <c r="J132" s="270">
        <f>IF(F132='TENDERER INPUT DATA'!$D$43,(1/100*(G132+(H132*I132))),(1/100*(G132+(H132*I132))*'TENDERER INPUT DATA'!$D$44))</f>
        <v>0</v>
      </c>
      <c r="K132" s="528"/>
      <c r="L132" s="267">
        <f t="shared" si="26"/>
        <v>0</v>
      </c>
      <c r="M132" s="534"/>
      <c r="N132" s="267">
        <f t="shared" si="25"/>
        <v>0</v>
      </c>
      <c r="O132" s="529">
        <f t="shared" si="22"/>
        <v>0</v>
      </c>
      <c r="P132" s="529">
        <f t="shared" si="23"/>
        <v>0</v>
      </c>
      <c r="Q132" s="531">
        <f t="shared" si="24"/>
        <v>0</v>
      </c>
    </row>
    <row r="133" spans="1:17">
      <c r="A133" s="1375" t="s">
        <v>243</v>
      </c>
      <c r="B133" s="1376"/>
      <c r="C133" s="1376"/>
      <c r="D133" s="1376"/>
      <c r="E133" s="1377"/>
      <c r="F133" s="1372">
        <f>'TENDERER INPUT DATA'!$D$43</f>
        <v>3000</v>
      </c>
      <c r="G133" s="1370"/>
      <c r="H133" s="1370"/>
      <c r="I133" s="1370"/>
      <c r="J133" s="1373"/>
      <c r="K133" s="268">
        <f>SUMIF(F107:F132,F133,K107:K132)</f>
        <v>0</v>
      </c>
      <c r="L133" s="268">
        <f>SUMIF(F107:F132,F133,L107:L132)</f>
        <v>0</v>
      </c>
      <c r="M133" s="268">
        <f>SUMIF(F107:F132,F133,M107:M132)</f>
        <v>0</v>
      </c>
      <c r="N133" s="268">
        <f>SUMIF(F107:F132,F133,N107:N132)</f>
        <v>0</v>
      </c>
      <c r="O133" s="268">
        <f>SUMIF(F107:F132,F133,O107:O132)</f>
        <v>0</v>
      </c>
      <c r="P133" s="268">
        <f>SUMIF(F107:F132,F133,P107:P132)</f>
        <v>0</v>
      </c>
      <c r="Q133" s="269">
        <f>SUMIF(F107:F132,F133,Q107:Q132)</f>
        <v>0</v>
      </c>
    </row>
    <row r="134" spans="1:17" ht="13.8" thickBot="1">
      <c r="A134" s="1378"/>
      <c r="B134" s="1379"/>
      <c r="C134" s="1379"/>
      <c r="D134" s="1379"/>
      <c r="E134" s="1380"/>
      <c r="F134" s="1381" t="str">
        <f>"&gt; " &amp; 'TENDERER INPUT DATA'!$D$43</f>
        <v>&gt; 3000</v>
      </c>
      <c r="G134" s="1382"/>
      <c r="H134" s="1382"/>
      <c r="I134" s="1382"/>
      <c r="J134" s="1383"/>
      <c r="K134" s="538">
        <f t="shared" ref="K134:Q134" si="27">SUM(K107:K132)-K133</f>
        <v>0</v>
      </c>
      <c r="L134" s="538">
        <f t="shared" si="27"/>
        <v>0</v>
      </c>
      <c r="M134" s="538">
        <f t="shared" si="27"/>
        <v>0</v>
      </c>
      <c r="N134" s="538">
        <f t="shared" si="27"/>
        <v>0</v>
      </c>
      <c r="O134" s="538">
        <f t="shared" si="27"/>
        <v>0</v>
      </c>
      <c r="P134" s="538">
        <f t="shared" si="27"/>
        <v>0</v>
      </c>
      <c r="Q134" s="538">
        <f t="shared" si="27"/>
        <v>0</v>
      </c>
    </row>
    <row r="135" spans="1:17" ht="13.8" thickBot="1">
      <c r="A135" s="539"/>
      <c r="B135" s="539"/>
      <c r="C135" s="539"/>
      <c r="D135" s="539"/>
      <c r="E135" s="539"/>
      <c r="F135" s="460"/>
      <c r="G135" s="460"/>
      <c r="H135" s="460"/>
      <c r="I135" s="460"/>
      <c r="J135" s="460"/>
      <c r="K135" s="540"/>
      <c r="L135" s="540"/>
      <c r="M135" s="540"/>
      <c r="N135" s="540"/>
      <c r="O135" s="540"/>
      <c r="P135" s="540"/>
      <c r="Q135" s="540"/>
    </row>
    <row r="136" spans="1:17">
      <c r="A136" s="237" t="s">
        <v>227</v>
      </c>
      <c r="B136" s="1372" t="s">
        <v>228</v>
      </c>
      <c r="C136" s="1373"/>
      <c r="D136" s="1372" t="s">
        <v>229</v>
      </c>
      <c r="E136" s="1373"/>
      <c r="F136" s="1374" t="s">
        <v>3</v>
      </c>
      <c r="G136" s="1374"/>
      <c r="H136" s="1374"/>
      <c r="I136" s="1374"/>
      <c r="J136" s="1374"/>
      <c r="K136" s="238" t="s">
        <v>230</v>
      </c>
      <c r="L136" s="458" t="s">
        <v>231</v>
      </c>
      <c r="M136" s="1369"/>
      <c r="N136" s="1369"/>
      <c r="O136" s="1369"/>
      <c r="P136" s="1370" t="s">
        <v>232</v>
      </c>
      <c r="Q136" s="1371"/>
    </row>
    <row r="137" spans="1:17" ht="27" thickBot="1">
      <c r="A137" s="239"/>
      <c r="B137" s="240" t="s">
        <v>233</v>
      </c>
      <c r="C137" s="241" t="s">
        <v>234</v>
      </c>
      <c r="D137" s="241" t="s">
        <v>235</v>
      </c>
      <c r="E137" s="241" t="s">
        <v>236</v>
      </c>
      <c r="F137" s="242" t="s">
        <v>230</v>
      </c>
      <c r="G137" s="242"/>
      <c r="H137" s="242"/>
      <c r="I137" s="242"/>
      <c r="J137" s="243" t="s">
        <v>237</v>
      </c>
      <c r="K137" s="244" t="s">
        <v>238</v>
      </c>
      <c r="L137" s="245"/>
      <c r="M137" s="246" t="s">
        <v>230</v>
      </c>
      <c r="N137" s="246" t="s">
        <v>239</v>
      </c>
      <c r="O137" s="247" t="s">
        <v>231</v>
      </c>
      <c r="P137" s="247" t="s">
        <v>230</v>
      </c>
      <c r="Q137" s="248" t="s">
        <v>231</v>
      </c>
    </row>
    <row r="138" spans="1:17" ht="13.8">
      <c r="A138" s="250"/>
      <c r="B138" s="251"/>
      <c r="C138" s="252"/>
      <c r="D138" s="252"/>
      <c r="E138" s="253"/>
      <c r="F138" s="253"/>
      <c r="G138" s="254" t="s">
        <v>240</v>
      </c>
      <c r="H138" s="254" t="s">
        <v>241</v>
      </c>
      <c r="I138" s="254" t="s">
        <v>242</v>
      </c>
      <c r="J138" s="255"/>
      <c r="K138" s="256"/>
      <c r="L138" s="257"/>
      <c r="M138" s="1387" t="s">
        <v>213</v>
      </c>
      <c r="N138" s="1388"/>
      <c r="O138" s="1389"/>
      <c r="P138" s="258"/>
      <c r="Q138" s="259"/>
    </row>
    <row r="139" spans="1:17">
      <c r="A139" s="260"/>
      <c r="B139" s="261"/>
      <c r="C139" s="261"/>
      <c r="D139" s="521"/>
      <c r="E139" s="262"/>
      <c r="F139" s="178">
        <f>'TENDERER INPUT DATA'!$D$43</f>
        <v>3000</v>
      </c>
      <c r="G139" s="522"/>
      <c r="H139" s="522"/>
      <c r="I139" s="522"/>
      <c r="J139" s="270">
        <f>IF(F139='TENDERER INPUT DATA'!$D$43,(1/100*(G139+(H139*I139))),(1/100*(G139+(H139*I139))*'TENDERER INPUT DATA'!$D$44))</f>
        <v>0</v>
      </c>
      <c r="K139" s="263"/>
      <c r="L139" s="264">
        <f>ROUND(J139*K139,2)</f>
        <v>0</v>
      </c>
      <c r="M139" s="532"/>
      <c r="N139" s="264">
        <f>+M139</f>
        <v>0</v>
      </c>
      <c r="O139" s="265">
        <f t="shared" ref="O139:O164" si="28">N139*J139</f>
        <v>0</v>
      </c>
      <c r="P139" s="265">
        <f t="shared" ref="P139:P164" si="29">K139+N139</f>
        <v>0</v>
      </c>
      <c r="Q139" s="530">
        <f t="shared" ref="Q139:Q164" si="30">L139+O139</f>
        <v>0</v>
      </c>
    </row>
    <row r="140" spans="1:17">
      <c r="A140" s="260"/>
      <c r="B140" s="261"/>
      <c r="C140" s="261"/>
      <c r="D140" s="521"/>
      <c r="E140" s="262"/>
      <c r="F140" s="178" t="str">
        <f>"&gt; " &amp; 'TENDERER INPUT DATA'!$D$43</f>
        <v>&gt; 3000</v>
      </c>
      <c r="G140" s="522"/>
      <c r="H140" s="522"/>
      <c r="I140" s="522"/>
      <c r="J140" s="270">
        <f>IF(F140='TENDERER INPUT DATA'!$D$43,(1/100*(G140+(H140*I140))),(1/100*(G140+(H140*I140))*'TENDERER INPUT DATA'!$D$44))</f>
        <v>0</v>
      </c>
      <c r="K140" s="266"/>
      <c r="L140" s="264">
        <f>ROUND(J140*K140,2)</f>
        <v>0</v>
      </c>
      <c r="M140" s="533"/>
      <c r="N140" s="264">
        <f t="shared" ref="N140:N164" si="31">+M140</f>
        <v>0</v>
      </c>
      <c r="O140" s="265">
        <f t="shared" si="28"/>
        <v>0</v>
      </c>
      <c r="P140" s="265">
        <f t="shared" si="29"/>
        <v>0</v>
      </c>
      <c r="Q140" s="530">
        <f t="shared" si="30"/>
        <v>0</v>
      </c>
    </row>
    <row r="141" spans="1:17">
      <c r="A141" s="260"/>
      <c r="B141" s="261"/>
      <c r="C141" s="261"/>
      <c r="D141" s="521"/>
      <c r="E141" s="262"/>
      <c r="F141" s="178">
        <f>'TENDERER INPUT DATA'!$D$43</f>
        <v>3000</v>
      </c>
      <c r="G141" s="522"/>
      <c r="H141" s="522"/>
      <c r="I141" s="522"/>
      <c r="J141" s="270">
        <f>IF(F141='TENDERER INPUT DATA'!$D$43,(1/100*(G141+(H141*I141))),(1/100*(G141+(H141*I141))*'TENDERER INPUT DATA'!$D$44))</f>
        <v>0</v>
      </c>
      <c r="K141" s="266"/>
      <c r="L141" s="264">
        <f>ROUND(J141*K141,2)</f>
        <v>0</v>
      </c>
      <c r="M141" s="533"/>
      <c r="N141" s="264">
        <f t="shared" si="31"/>
        <v>0</v>
      </c>
      <c r="O141" s="265">
        <f t="shared" si="28"/>
        <v>0</v>
      </c>
      <c r="P141" s="265">
        <f t="shared" si="29"/>
        <v>0</v>
      </c>
      <c r="Q141" s="530">
        <f t="shared" si="30"/>
        <v>0</v>
      </c>
    </row>
    <row r="142" spans="1:17">
      <c r="A142" s="260"/>
      <c r="B142" s="261"/>
      <c r="C142" s="261"/>
      <c r="D142" s="521"/>
      <c r="E142" s="262"/>
      <c r="F142" s="178" t="str">
        <f>"&gt; " &amp; 'TENDERER INPUT DATA'!$D$43</f>
        <v>&gt; 3000</v>
      </c>
      <c r="G142" s="522"/>
      <c r="H142" s="522"/>
      <c r="I142" s="522"/>
      <c r="J142" s="270">
        <f>IF(F142='TENDERER INPUT DATA'!$D$43,(1/100*(G142+(H142*I142))),(1/100*(G142+(H142*I142))*'TENDERER INPUT DATA'!$D$44))</f>
        <v>0</v>
      </c>
      <c r="K142" s="266"/>
      <c r="L142" s="264">
        <f>ROUND(J142*K142,2)</f>
        <v>0</v>
      </c>
      <c r="M142" s="533"/>
      <c r="N142" s="264">
        <f t="shared" si="31"/>
        <v>0</v>
      </c>
      <c r="O142" s="265">
        <f t="shared" si="28"/>
        <v>0</v>
      </c>
      <c r="P142" s="265">
        <f t="shared" si="29"/>
        <v>0</v>
      </c>
      <c r="Q142" s="530">
        <f t="shared" si="30"/>
        <v>0</v>
      </c>
    </row>
    <row r="143" spans="1:17">
      <c r="A143" s="260"/>
      <c r="B143" s="261"/>
      <c r="C143" s="261"/>
      <c r="D143" s="521"/>
      <c r="E143" s="262"/>
      <c r="F143" s="178">
        <f>'TENDERER INPUT DATA'!$D$43</f>
        <v>3000</v>
      </c>
      <c r="G143" s="522"/>
      <c r="H143" s="522"/>
      <c r="I143" s="522"/>
      <c r="J143" s="270">
        <f>IF(F143='TENDERER INPUT DATA'!$D$43,(1/100*(G143+(H143*I143))),(1/100*(G143+(H143*I143))*'TENDERER INPUT DATA'!$D$44))</f>
        <v>0</v>
      </c>
      <c r="K143" s="266"/>
      <c r="L143" s="264">
        <f>ROUND(J143*K143,2)</f>
        <v>0</v>
      </c>
      <c r="M143" s="533"/>
      <c r="N143" s="264">
        <f t="shared" si="31"/>
        <v>0</v>
      </c>
      <c r="O143" s="265">
        <f t="shared" si="28"/>
        <v>0</v>
      </c>
      <c r="P143" s="265">
        <f t="shared" si="29"/>
        <v>0</v>
      </c>
      <c r="Q143" s="530">
        <f t="shared" si="30"/>
        <v>0</v>
      </c>
    </row>
    <row r="144" spans="1:17">
      <c r="A144" s="260"/>
      <c r="B144" s="261"/>
      <c r="C144" s="261"/>
      <c r="D144" s="521"/>
      <c r="E144" s="262"/>
      <c r="F144" s="178" t="str">
        <f>"&gt; " &amp; 'TENDERER INPUT DATA'!$D$43</f>
        <v>&gt; 3000</v>
      </c>
      <c r="G144" s="522"/>
      <c r="H144" s="522"/>
      <c r="I144" s="522"/>
      <c r="J144" s="270">
        <f>IF(F144='TENDERER INPUT DATA'!$D$43,(1/100*(G144+(H144*I144))),(1/100*(G144+(H144*I144))*'TENDERER INPUT DATA'!$D$44))</f>
        <v>0</v>
      </c>
      <c r="K144" s="266"/>
      <c r="L144" s="264">
        <f t="shared" ref="L144:L164" si="32">ROUND(J144*K144,2)</f>
        <v>0</v>
      </c>
      <c r="M144" s="533"/>
      <c r="N144" s="264">
        <f t="shared" si="31"/>
        <v>0</v>
      </c>
      <c r="O144" s="265">
        <f t="shared" si="28"/>
        <v>0</v>
      </c>
      <c r="P144" s="265">
        <f t="shared" si="29"/>
        <v>0</v>
      </c>
      <c r="Q144" s="530">
        <f t="shared" si="30"/>
        <v>0</v>
      </c>
    </row>
    <row r="145" spans="1:17">
      <c r="A145" s="260"/>
      <c r="B145" s="261"/>
      <c r="C145" s="261"/>
      <c r="D145" s="521"/>
      <c r="E145" s="262"/>
      <c r="F145" s="178">
        <f>'TENDERER INPUT DATA'!$D$43</f>
        <v>3000</v>
      </c>
      <c r="G145" s="522"/>
      <c r="H145" s="522"/>
      <c r="I145" s="522"/>
      <c r="J145" s="270">
        <f>IF(F145='TENDERER INPUT DATA'!$D$43,(1/100*(G145+(H145*I145))),(1/100*(G145+(H145*I145))*'TENDERER INPUT DATA'!$D$44))</f>
        <v>0</v>
      </c>
      <c r="K145" s="266"/>
      <c r="L145" s="264">
        <f t="shared" si="32"/>
        <v>0</v>
      </c>
      <c r="M145" s="533"/>
      <c r="N145" s="264">
        <f t="shared" si="31"/>
        <v>0</v>
      </c>
      <c r="O145" s="265">
        <f t="shared" si="28"/>
        <v>0</v>
      </c>
      <c r="P145" s="265">
        <f t="shared" si="29"/>
        <v>0</v>
      </c>
      <c r="Q145" s="530">
        <f t="shared" si="30"/>
        <v>0</v>
      </c>
    </row>
    <row r="146" spans="1:17">
      <c r="A146" s="260"/>
      <c r="B146" s="261"/>
      <c r="C146" s="261"/>
      <c r="D146" s="521"/>
      <c r="E146" s="262"/>
      <c r="F146" s="178" t="str">
        <f>"&gt; " &amp; 'TENDERER INPUT DATA'!$D$43</f>
        <v>&gt; 3000</v>
      </c>
      <c r="G146" s="522"/>
      <c r="H146" s="522"/>
      <c r="I146" s="522"/>
      <c r="J146" s="270">
        <f>IF(F146='TENDERER INPUT DATA'!$D$43,(1/100*(G146+(H146*I146))),(1/100*(G146+(H146*I146))*'TENDERER INPUT DATA'!$D$44))</f>
        <v>0</v>
      </c>
      <c r="K146" s="266"/>
      <c r="L146" s="264">
        <f t="shared" si="32"/>
        <v>0</v>
      </c>
      <c r="M146" s="533"/>
      <c r="N146" s="264">
        <f t="shared" si="31"/>
        <v>0</v>
      </c>
      <c r="O146" s="265">
        <f t="shared" si="28"/>
        <v>0</v>
      </c>
      <c r="P146" s="265">
        <f t="shared" si="29"/>
        <v>0</v>
      </c>
      <c r="Q146" s="530">
        <f t="shared" si="30"/>
        <v>0</v>
      </c>
    </row>
    <row r="147" spans="1:17">
      <c r="A147" s="260"/>
      <c r="B147" s="261"/>
      <c r="C147" s="261"/>
      <c r="D147" s="521"/>
      <c r="E147" s="262"/>
      <c r="F147" s="178">
        <f>'TENDERER INPUT DATA'!$D$43</f>
        <v>3000</v>
      </c>
      <c r="G147" s="522"/>
      <c r="H147" s="522"/>
      <c r="I147" s="522"/>
      <c r="J147" s="270">
        <f>IF(F147='TENDERER INPUT DATA'!$D$43,(1/100*(G147+(H147*I147))),(1/100*(G147+(H147*I147))*'TENDERER INPUT DATA'!$D$44))</f>
        <v>0</v>
      </c>
      <c r="K147" s="266"/>
      <c r="L147" s="264">
        <f t="shared" si="32"/>
        <v>0</v>
      </c>
      <c r="M147" s="533"/>
      <c r="N147" s="264">
        <f t="shared" si="31"/>
        <v>0</v>
      </c>
      <c r="O147" s="265">
        <f t="shared" si="28"/>
        <v>0</v>
      </c>
      <c r="P147" s="265">
        <f t="shared" si="29"/>
        <v>0</v>
      </c>
      <c r="Q147" s="530">
        <f t="shared" si="30"/>
        <v>0</v>
      </c>
    </row>
    <row r="148" spans="1:17">
      <c r="A148" s="260"/>
      <c r="B148" s="261"/>
      <c r="C148" s="261"/>
      <c r="D148" s="521"/>
      <c r="E148" s="262"/>
      <c r="F148" s="178" t="str">
        <f>"&gt; " &amp; 'TENDERER INPUT DATA'!$D$43</f>
        <v>&gt; 3000</v>
      </c>
      <c r="G148" s="522"/>
      <c r="H148" s="522"/>
      <c r="I148" s="522"/>
      <c r="J148" s="270">
        <f>IF(F148='TENDERER INPUT DATA'!$D$43,(1/100*(G148+(H148*I148))),(1/100*(G148+(H148*I148))*'TENDERER INPUT DATA'!$D$44))</f>
        <v>0</v>
      </c>
      <c r="K148" s="266"/>
      <c r="L148" s="264">
        <f t="shared" si="32"/>
        <v>0</v>
      </c>
      <c r="M148" s="533"/>
      <c r="N148" s="264">
        <f t="shared" si="31"/>
        <v>0</v>
      </c>
      <c r="O148" s="265">
        <f t="shared" si="28"/>
        <v>0</v>
      </c>
      <c r="P148" s="265">
        <f t="shared" si="29"/>
        <v>0</v>
      </c>
      <c r="Q148" s="530">
        <f t="shared" si="30"/>
        <v>0</v>
      </c>
    </row>
    <row r="149" spans="1:17">
      <c r="A149" s="260"/>
      <c r="B149" s="261"/>
      <c r="C149" s="261"/>
      <c r="D149" s="521"/>
      <c r="E149" s="262"/>
      <c r="F149" s="178">
        <f>'TENDERER INPUT DATA'!$D$43</f>
        <v>3000</v>
      </c>
      <c r="G149" s="522"/>
      <c r="H149" s="522"/>
      <c r="I149" s="522"/>
      <c r="J149" s="270">
        <f>IF(F149='TENDERER INPUT DATA'!$D$43,(1/100*(G149+(H149*I149))),(1/100*(G149+(H149*I149))*'TENDERER INPUT DATA'!$D$44))</f>
        <v>0</v>
      </c>
      <c r="K149" s="266"/>
      <c r="L149" s="264">
        <f t="shared" si="32"/>
        <v>0</v>
      </c>
      <c r="M149" s="533"/>
      <c r="N149" s="264">
        <f t="shared" si="31"/>
        <v>0</v>
      </c>
      <c r="O149" s="265">
        <f t="shared" si="28"/>
        <v>0</v>
      </c>
      <c r="P149" s="265">
        <f t="shared" si="29"/>
        <v>0</v>
      </c>
      <c r="Q149" s="530">
        <f t="shared" si="30"/>
        <v>0</v>
      </c>
    </row>
    <row r="150" spans="1:17">
      <c r="A150" s="260"/>
      <c r="B150" s="261"/>
      <c r="C150" s="261"/>
      <c r="D150" s="521"/>
      <c r="E150" s="262"/>
      <c r="F150" s="178" t="str">
        <f>"&gt; " &amp; 'TENDERER INPUT DATA'!$D$43</f>
        <v>&gt; 3000</v>
      </c>
      <c r="G150" s="522"/>
      <c r="H150" s="522"/>
      <c r="I150" s="522"/>
      <c r="J150" s="270">
        <f>IF(F150='TENDERER INPUT DATA'!$D$43,(1/100*(G150+(H150*I150))),(1/100*(G150+(H150*I150))*'TENDERER INPUT DATA'!$D$44))</f>
        <v>0</v>
      </c>
      <c r="K150" s="266"/>
      <c r="L150" s="264">
        <f t="shared" si="32"/>
        <v>0</v>
      </c>
      <c r="M150" s="533"/>
      <c r="N150" s="264">
        <f t="shared" si="31"/>
        <v>0</v>
      </c>
      <c r="O150" s="265">
        <f t="shared" si="28"/>
        <v>0</v>
      </c>
      <c r="P150" s="265">
        <f t="shared" si="29"/>
        <v>0</v>
      </c>
      <c r="Q150" s="530">
        <f t="shared" si="30"/>
        <v>0</v>
      </c>
    </row>
    <row r="151" spans="1:17">
      <c r="A151" s="260"/>
      <c r="B151" s="261"/>
      <c r="C151" s="261"/>
      <c r="D151" s="521"/>
      <c r="E151" s="262"/>
      <c r="F151" s="178">
        <f>'TENDERER INPUT DATA'!$D$43</f>
        <v>3000</v>
      </c>
      <c r="G151" s="522"/>
      <c r="H151" s="522"/>
      <c r="I151" s="522"/>
      <c r="J151" s="270">
        <f>IF(F151='TENDERER INPUT DATA'!$D$43,(1/100*(G151+(H151*I151))),(1/100*(G151+(H151*I151))*'TENDERER INPUT DATA'!$D$44))</f>
        <v>0</v>
      </c>
      <c r="K151" s="266"/>
      <c r="L151" s="264">
        <f t="shared" si="32"/>
        <v>0</v>
      </c>
      <c r="M151" s="533"/>
      <c r="N151" s="264">
        <f t="shared" si="31"/>
        <v>0</v>
      </c>
      <c r="O151" s="265">
        <f t="shared" si="28"/>
        <v>0</v>
      </c>
      <c r="P151" s="265">
        <f t="shared" si="29"/>
        <v>0</v>
      </c>
      <c r="Q151" s="530">
        <f t="shared" si="30"/>
        <v>0</v>
      </c>
    </row>
    <row r="152" spans="1:17">
      <c r="A152" s="260"/>
      <c r="B152" s="261"/>
      <c r="C152" s="261"/>
      <c r="D152" s="521"/>
      <c r="E152" s="262"/>
      <c r="F152" s="178" t="str">
        <f>"&gt; " &amp; 'TENDERER INPUT DATA'!$D$43</f>
        <v>&gt; 3000</v>
      </c>
      <c r="G152" s="522"/>
      <c r="H152" s="522"/>
      <c r="I152" s="522"/>
      <c r="J152" s="270">
        <f>IF(F152='TENDERER INPUT DATA'!$D$43,(1/100*(G152+(H152*I152))),(1/100*(G152+(H152*I152))*'TENDERER INPUT DATA'!$D$44))</f>
        <v>0</v>
      </c>
      <c r="K152" s="266"/>
      <c r="L152" s="264">
        <f t="shared" si="32"/>
        <v>0</v>
      </c>
      <c r="M152" s="533"/>
      <c r="N152" s="264">
        <f t="shared" si="31"/>
        <v>0</v>
      </c>
      <c r="O152" s="265">
        <f t="shared" si="28"/>
        <v>0</v>
      </c>
      <c r="P152" s="265">
        <f t="shared" si="29"/>
        <v>0</v>
      </c>
      <c r="Q152" s="530">
        <f t="shared" si="30"/>
        <v>0</v>
      </c>
    </row>
    <row r="153" spans="1:17">
      <c r="A153" s="260"/>
      <c r="B153" s="261"/>
      <c r="C153" s="261"/>
      <c r="D153" s="521"/>
      <c r="E153" s="262"/>
      <c r="F153" s="178">
        <f>'TENDERER INPUT DATA'!$D$43</f>
        <v>3000</v>
      </c>
      <c r="G153" s="522"/>
      <c r="H153" s="522"/>
      <c r="I153" s="522"/>
      <c r="J153" s="270">
        <f>IF(F153='TENDERER INPUT DATA'!$D$43,(1/100*(G153+(H153*I153))),(1/100*(G153+(H153*I153))*'TENDERER INPUT DATA'!$D$44))</f>
        <v>0</v>
      </c>
      <c r="K153" s="266"/>
      <c r="L153" s="264">
        <f t="shared" si="32"/>
        <v>0</v>
      </c>
      <c r="M153" s="533"/>
      <c r="N153" s="264">
        <f t="shared" si="31"/>
        <v>0</v>
      </c>
      <c r="O153" s="265">
        <f t="shared" si="28"/>
        <v>0</v>
      </c>
      <c r="P153" s="265">
        <f t="shared" si="29"/>
        <v>0</v>
      </c>
      <c r="Q153" s="530">
        <f t="shared" si="30"/>
        <v>0</v>
      </c>
    </row>
    <row r="154" spans="1:17">
      <c r="A154" s="260"/>
      <c r="B154" s="261"/>
      <c r="C154" s="261"/>
      <c r="D154" s="521"/>
      <c r="E154" s="262"/>
      <c r="F154" s="178" t="str">
        <f>"&gt; " &amp; 'TENDERER INPUT DATA'!$D$43</f>
        <v>&gt; 3000</v>
      </c>
      <c r="G154" s="522"/>
      <c r="H154" s="522"/>
      <c r="I154" s="522"/>
      <c r="J154" s="270">
        <f>IF(F154='TENDERER INPUT DATA'!$D$43,(1/100*(G154+(H154*I154))),(1/100*(G154+(H154*I154))*'TENDERER INPUT DATA'!$D$44))</f>
        <v>0</v>
      </c>
      <c r="K154" s="266"/>
      <c r="L154" s="264">
        <f t="shared" si="32"/>
        <v>0</v>
      </c>
      <c r="M154" s="533"/>
      <c r="N154" s="264">
        <f t="shared" si="31"/>
        <v>0</v>
      </c>
      <c r="O154" s="265">
        <f t="shared" si="28"/>
        <v>0</v>
      </c>
      <c r="P154" s="265">
        <f t="shared" si="29"/>
        <v>0</v>
      </c>
      <c r="Q154" s="530">
        <f t="shared" si="30"/>
        <v>0</v>
      </c>
    </row>
    <row r="155" spans="1:17">
      <c r="A155" s="260"/>
      <c r="B155" s="261"/>
      <c r="C155" s="261"/>
      <c r="D155" s="521"/>
      <c r="E155" s="262"/>
      <c r="F155" s="178">
        <f>'TENDERER INPUT DATA'!$D$43</f>
        <v>3000</v>
      </c>
      <c r="G155" s="522"/>
      <c r="H155" s="522"/>
      <c r="I155" s="522"/>
      <c r="J155" s="270">
        <f>IF(F155='TENDERER INPUT DATA'!$D$43,(1/100*(G155+(H155*I155))),(1/100*(G155+(H155*I155))*'TENDERER INPUT DATA'!$D$44))</f>
        <v>0</v>
      </c>
      <c r="K155" s="266"/>
      <c r="L155" s="264">
        <f t="shared" si="32"/>
        <v>0</v>
      </c>
      <c r="M155" s="533"/>
      <c r="N155" s="264">
        <f t="shared" si="31"/>
        <v>0</v>
      </c>
      <c r="O155" s="265">
        <f t="shared" si="28"/>
        <v>0</v>
      </c>
      <c r="P155" s="265">
        <f t="shared" si="29"/>
        <v>0</v>
      </c>
      <c r="Q155" s="530">
        <f t="shared" si="30"/>
        <v>0</v>
      </c>
    </row>
    <row r="156" spans="1:17">
      <c r="A156" s="260"/>
      <c r="B156" s="261"/>
      <c r="C156" s="261"/>
      <c r="D156" s="521"/>
      <c r="E156" s="262"/>
      <c r="F156" s="178" t="str">
        <f>"&gt; " &amp; 'TENDERER INPUT DATA'!$D$43</f>
        <v>&gt; 3000</v>
      </c>
      <c r="G156" s="522"/>
      <c r="H156" s="522"/>
      <c r="I156" s="522"/>
      <c r="J156" s="270">
        <f>IF(F156='TENDERER INPUT DATA'!$D$43,(1/100*(G156+(H156*I156))),(1/100*(G156+(H156*I156))*'TENDERER INPUT DATA'!$D$44))</f>
        <v>0</v>
      </c>
      <c r="K156" s="266"/>
      <c r="L156" s="264">
        <f t="shared" si="32"/>
        <v>0</v>
      </c>
      <c r="M156" s="533"/>
      <c r="N156" s="264">
        <f t="shared" si="31"/>
        <v>0</v>
      </c>
      <c r="O156" s="265">
        <f t="shared" si="28"/>
        <v>0</v>
      </c>
      <c r="P156" s="265">
        <f t="shared" si="29"/>
        <v>0</v>
      </c>
      <c r="Q156" s="530">
        <f t="shared" si="30"/>
        <v>0</v>
      </c>
    </row>
    <row r="157" spans="1:17">
      <c r="A157" s="260"/>
      <c r="B157" s="261"/>
      <c r="C157" s="261"/>
      <c r="D157" s="521"/>
      <c r="E157" s="262"/>
      <c r="F157" s="178">
        <f>'TENDERER INPUT DATA'!$D$43</f>
        <v>3000</v>
      </c>
      <c r="G157" s="522"/>
      <c r="H157" s="522"/>
      <c r="I157" s="522"/>
      <c r="J157" s="270">
        <f>IF(F157='TENDERER INPUT DATA'!$D$43,(1/100*(G157+(H157*I157))),(1/100*(G157+(H157*I157))*'TENDERER INPUT DATA'!$D$44))</f>
        <v>0</v>
      </c>
      <c r="K157" s="266"/>
      <c r="L157" s="264">
        <f t="shared" si="32"/>
        <v>0</v>
      </c>
      <c r="M157" s="533"/>
      <c r="N157" s="264">
        <f t="shared" si="31"/>
        <v>0</v>
      </c>
      <c r="O157" s="265">
        <f t="shared" si="28"/>
        <v>0</v>
      </c>
      <c r="P157" s="265">
        <f t="shared" si="29"/>
        <v>0</v>
      </c>
      <c r="Q157" s="530">
        <f t="shared" si="30"/>
        <v>0</v>
      </c>
    </row>
    <row r="158" spans="1:17">
      <c r="A158" s="260"/>
      <c r="B158" s="261"/>
      <c r="C158" s="261"/>
      <c r="D158" s="521"/>
      <c r="E158" s="262"/>
      <c r="F158" s="178" t="str">
        <f>"&gt; " &amp; 'TENDERER INPUT DATA'!$D$43</f>
        <v>&gt; 3000</v>
      </c>
      <c r="G158" s="522"/>
      <c r="H158" s="522"/>
      <c r="I158" s="522"/>
      <c r="J158" s="270">
        <f>IF(F158='TENDERER INPUT DATA'!$D$43,(1/100*(G158+(H158*I158))),(1/100*(G158+(H158*I158))*'TENDERER INPUT DATA'!$D$44))</f>
        <v>0</v>
      </c>
      <c r="K158" s="266"/>
      <c r="L158" s="264">
        <f t="shared" si="32"/>
        <v>0</v>
      </c>
      <c r="M158" s="533"/>
      <c r="N158" s="264">
        <f t="shared" si="31"/>
        <v>0</v>
      </c>
      <c r="O158" s="265">
        <f t="shared" si="28"/>
        <v>0</v>
      </c>
      <c r="P158" s="265">
        <f t="shared" si="29"/>
        <v>0</v>
      </c>
      <c r="Q158" s="530">
        <f t="shared" si="30"/>
        <v>0</v>
      </c>
    </row>
    <row r="159" spans="1:17">
      <c r="A159" s="260"/>
      <c r="B159" s="261"/>
      <c r="C159" s="261"/>
      <c r="D159" s="521"/>
      <c r="E159" s="262"/>
      <c r="F159" s="178">
        <f>'TENDERER INPUT DATA'!$D$43</f>
        <v>3000</v>
      </c>
      <c r="G159" s="522"/>
      <c r="H159" s="522"/>
      <c r="I159" s="522"/>
      <c r="J159" s="270">
        <f>IF(F159='TENDERER INPUT DATA'!$D$43,(1/100*(G159+(H159*I159))),(1/100*(G159+(H159*I159))*'TENDERER INPUT DATA'!$D$44))</f>
        <v>0</v>
      </c>
      <c r="K159" s="266"/>
      <c r="L159" s="264">
        <f t="shared" si="32"/>
        <v>0</v>
      </c>
      <c r="M159" s="533"/>
      <c r="N159" s="264">
        <f t="shared" si="31"/>
        <v>0</v>
      </c>
      <c r="O159" s="265">
        <f t="shared" si="28"/>
        <v>0</v>
      </c>
      <c r="P159" s="265">
        <f t="shared" si="29"/>
        <v>0</v>
      </c>
      <c r="Q159" s="530">
        <f t="shared" si="30"/>
        <v>0</v>
      </c>
    </row>
    <row r="160" spans="1:17">
      <c r="A160" s="260"/>
      <c r="B160" s="261"/>
      <c r="C160" s="261"/>
      <c r="D160" s="521"/>
      <c r="E160" s="262"/>
      <c r="F160" s="178" t="str">
        <f>"&gt; " &amp; 'TENDERER INPUT DATA'!$D$43</f>
        <v>&gt; 3000</v>
      </c>
      <c r="G160" s="522"/>
      <c r="H160" s="522"/>
      <c r="I160" s="522"/>
      <c r="J160" s="270">
        <f>IF(F160='TENDERER INPUT DATA'!$D$43,(1/100*(G160+(H160*I160))),(1/100*(G160+(H160*I160))*'TENDERER INPUT DATA'!$D$44))</f>
        <v>0</v>
      </c>
      <c r="K160" s="266"/>
      <c r="L160" s="264">
        <f t="shared" si="32"/>
        <v>0</v>
      </c>
      <c r="M160" s="533"/>
      <c r="N160" s="264">
        <f t="shared" si="31"/>
        <v>0</v>
      </c>
      <c r="O160" s="265">
        <f t="shared" si="28"/>
        <v>0</v>
      </c>
      <c r="P160" s="265">
        <f t="shared" si="29"/>
        <v>0</v>
      </c>
      <c r="Q160" s="530">
        <f t="shared" si="30"/>
        <v>0</v>
      </c>
    </row>
    <row r="161" spans="1:17">
      <c r="A161" s="260"/>
      <c r="B161" s="261"/>
      <c r="C161" s="261"/>
      <c r="D161" s="521"/>
      <c r="E161" s="262"/>
      <c r="F161" s="178">
        <f>'TENDERER INPUT DATA'!$D$43</f>
        <v>3000</v>
      </c>
      <c r="G161" s="522"/>
      <c r="H161" s="522"/>
      <c r="I161" s="522"/>
      <c r="J161" s="270">
        <f>IF(F161='TENDERER INPUT DATA'!$D$43,(1/100*(G161+(H161*I161))),(1/100*(G161+(H161*I161))*'TENDERER INPUT DATA'!$D$44))</f>
        <v>0</v>
      </c>
      <c r="K161" s="266"/>
      <c r="L161" s="264">
        <f t="shared" si="32"/>
        <v>0</v>
      </c>
      <c r="M161" s="533"/>
      <c r="N161" s="264">
        <f t="shared" si="31"/>
        <v>0</v>
      </c>
      <c r="O161" s="265">
        <f t="shared" si="28"/>
        <v>0</v>
      </c>
      <c r="P161" s="265">
        <f t="shared" si="29"/>
        <v>0</v>
      </c>
      <c r="Q161" s="530">
        <f t="shared" si="30"/>
        <v>0</v>
      </c>
    </row>
    <row r="162" spans="1:17">
      <c r="A162" s="260"/>
      <c r="B162" s="261"/>
      <c r="C162" s="261"/>
      <c r="D162" s="521"/>
      <c r="E162" s="262"/>
      <c r="F162" s="178" t="str">
        <f>"&gt; " &amp; 'TENDERER INPUT DATA'!$D$43</f>
        <v>&gt; 3000</v>
      </c>
      <c r="G162" s="522"/>
      <c r="H162" s="522"/>
      <c r="I162" s="522"/>
      <c r="J162" s="270">
        <f>IF(F162='TENDERER INPUT DATA'!$D$43,(1/100*(G162+(H162*I162))),(1/100*(G162+(H162*I162))*'TENDERER INPUT DATA'!$D$44))</f>
        <v>0</v>
      </c>
      <c r="K162" s="266"/>
      <c r="L162" s="264">
        <f t="shared" si="32"/>
        <v>0</v>
      </c>
      <c r="M162" s="533"/>
      <c r="N162" s="264">
        <f t="shared" si="31"/>
        <v>0</v>
      </c>
      <c r="O162" s="265">
        <f t="shared" si="28"/>
        <v>0</v>
      </c>
      <c r="P162" s="265">
        <f t="shared" si="29"/>
        <v>0</v>
      </c>
      <c r="Q162" s="530">
        <f t="shared" si="30"/>
        <v>0</v>
      </c>
    </row>
    <row r="163" spans="1:17">
      <c r="A163" s="260"/>
      <c r="B163" s="261"/>
      <c r="C163" s="261"/>
      <c r="D163" s="521"/>
      <c r="E163" s="262"/>
      <c r="F163" s="178">
        <f>'TENDERER INPUT DATA'!$D$43</f>
        <v>3000</v>
      </c>
      <c r="G163" s="522"/>
      <c r="H163" s="522"/>
      <c r="I163" s="522"/>
      <c r="J163" s="270">
        <f>IF(F163='TENDERER INPUT DATA'!$D$43,(1/100*(G163+(H163*I163))),(1/100*(G163+(H163*I163))*'TENDERER INPUT DATA'!$D$44))</f>
        <v>0</v>
      </c>
      <c r="K163" s="266"/>
      <c r="L163" s="264">
        <f t="shared" si="32"/>
        <v>0</v>
      </c>
      <c r="M163" s="533"/>
      <c r="N163" s="264">
        <f t="shared" si="31"/>
        <v>0</v>
      </c>
      <c r="O163" s="265">
        <f t="shared" si="28"/>
        <v>0</v>
      </c>
      <c r="P163" s="265">
        <f t="shared" si="29"/>
        <v>0</v>
      </c>
      <c r="Q163" s="530">
        <f t="shared" si="30"/>
        <v>0</v>
      </c>
    </row>
    <row r="164" spans="1:17" ht="13.8" thickBot="1">
      <c r="A164" s="523"/>
      <c r="B164" s="524"/>
      <c r="C164" s="524"/>
      <c r="D164" s="525"/>
      <c r="E164" s="526"/>
      <c r="F164" s="178" t="str">
        <f>"&gt; " &amp; 'TENDERER INPUT DATA'!$D$43</f>
        <v>&gt; 3000</v>
      </c>
      <c r="G164" s="527"/>
      <c r="H164" s="527"/>
      <c r="I164" s="527"/>
      <c r="J164" s="270">
        <f>IF(F164='TENDERER INPUT DATA'!$D$43,(1/100*(G164+(H164*I164))),(1/100*(G164+(H164*I164))*'TENDERER INPUT DATA'!$D$44))</f>
        <v>0</v>
      </c>
      <c r="K164" s="528"/>
      <c r="L164" s="267">
        <f t="shared" si="32"/>
        <v>0</v>
      </c>
      <c r="M164" s="534"/>
      <c r="N164" s="267">
        <f t="shared" si="31"/>
        <v>0</v>
      </c>
      <c r="O164" s="529">
        <f t="shared" si="28"/>
        <v>0</v>
      </c>
      <c r="P164" s="529">
        <f t="shared" si="29"/>
        <v>0</v>
      </c>
      <c r="Q164" s="531">
        <f t="shared" si="30"/>
        <v>0</v>
      </c>
    </row>
    <row r="165" spans="1:17">
      <c r="A165" s="1375" t="s">
        <v>243</v>
      </c>
      <c r="B165" s="1376"/>
      <c r="C165" s="1376"/>
      <c r="D165" s="1376"/>
      <c r="E165" s="1377"/>
      <c r="F165" s="1372">
        <f>'TENDERER INPUT DATA'!$D$43</f>
        <v>3000</v>
      </c>
      <c r="G165" s="1370"/>
      <c r="H165" s="1370"/>
      <c r="I165" s="1370"/>
      <c r="J165" s="1373"/>
      <c r="K165" s="268">
        <f>SUMIF(F139:F164,F165,K139:K164)</f>
        <v>0</v>
      </c>
      <c r="L165" s="268">
        <f>SUMIF(F139:F164,F165,L139:L164)</f>
        <v>0</v>
      </c>
      <c r="M165" s="268">
        <f>SUMIF(F139:F164,F165,M139:M164)</f>
        <v>0</v>
      </c>
      <c r="N165" s="268">
        <f>SUMIF(F139:F164,F165,N139:N164)</f>
        <v>0</v>
      </c>
      <c r="O165" s="268">
        <f>SUMIF(F139:F164,F165,O139:O164)</f>
        <v>0</v>
      </c>
      <c r="P165" s="268">
        <f>SUMIF(F139:F164,F165,P139:P164)</f>
        <v>0</v>
      </c>
      <c r="Q165" s="269">
        <f>SUMIF(F139:F164,F165,Q139:Q164)</f>
        <v>0</v>
      </c>
    </row>
    <row r="166" spans="1:17" ht="13.8" thickBot="1">
      <c r="A166" s="1378"/>
      <c r="B166" s="1379"/>
      <c r="C166" s="1379"/>
      <c r="D166" s="1379"/>
      <c r="E166" s="1380"/>
      <c r="F166" s="1381" t="str">
        <f>"&gt; " &amp; 'TENDERER INPUT DATA'!$D$43</f>
        <v>&gt; 3000</v>
      </c>
      <c r="G166" s="1382"/>
      <c r="H166" s="1382"/>
      <c r="I166" s="1382"/>
      <c r="J166" s="1383"/>
      <c r="K166" s="538">
        <f t="shared" ref="K166:Q166" si="33">SUM(K139:K164)-K165</f>
        <v>0</v>
      </c>
      <c r="L166" s="538">
        <f t="shared" si="33"/>
        <v>0</v>
      </c>
      <c r="M166" s="538">
        <f t="shared" si="33"/>
        <v>0</v>
      </c>
      <c r="N166" s="538">
        <f t="shared" si="33"/>
        <v>0</v>
      </c>
      <c r="O166" s="538">
        <f t="shared" si="33"/>
        <v>0</v>
      </c>
      <c r="P166" s="538">
        <f t="shared" si="33"/>
        <v>0</v>
      </c>
      <c r="Q166" s="538">
        <f t="shared" si="33"/>
        <v>0</v>
      </c>
    </row>
    <row r="167" spans="1:17" ht="13.8" thickBot="1">
      <c r="C167" s="461"/>
      <c r="D167" s="461"/>
      <c r="E167" s="535"/>
      <c r="F167" s="461"/>
      <c r="G167" s="461"/>
      <c r="H167" s="461"/>
      <c r="I167" s="461"/>
      <c r="J167" s="536"/>
      <c r="K167" s="537"/>
      <c r="L167" s="537"/>
      <c r="M167" s="537"/>
      <c r="N167" s="537"/>
      <c r="O167" s="537"/>
      <c r="P167" s="537"/>
      <c r="Q167" s="537"/>
    </row>
    <row r="168" spans="1:17" ht="31.5" customHeight="1">
      <c r="A168" s="1402" t="s">
        <v>646</v>
      </c>
      <c r="B168" s="1403"/>
      <c r="C168" s="1403"/>
      <c r="D168" s="1403"/>
      <c r="E168" s="1404"/>
      <c r="F168" s="1399">
        <f>'TENDERER INPUT DATA'!$D$43</f>
        <v>3000</v>
      </c>
      <c r="G168" s="1400"/>
      <c r="H168" s="1400"/>
      <c r="I168" s="1400"/>
      <c r="J168" s="1401"/>
      <c r="K168" s="541">
        <f t="shared" ref="K168:Q168" si="34">SUM(K37+K69+K101+K133+K165)</f>
        <v>0</v>
      </c>
      <c r="L168" s="541">
        <f t="shared" si="34"/>
        <v>0</v>
      </c>
      <c r="M168" s="541">
        <f t="shared" si="34"/>
        <v>0</v>
      </c>
      <c r="N168" s="541">
        <f t="shared" si="34"/>
        <v>0</v>
      </c>
      <c r="O168" s="541">
        <f t="shared" si="34"/>
        <v>0</v>
      </c>
      <c r="P168" s="541">
        <f t="shared" si="34"/>
        <v>0</v>
      </c>
      <c r="Q168" s="542">
        <f t="shared" si="34"/>
        <v>0</v>
      </c>
    </row>
    <row r="169" spans="1:17" ht="31.5" customHeight="1" thickBot="1">
      <c r="A169" s="1393" t="s">
        <v>646</v>
      </c>
      <c r="B169" s="1394"/>
      <c r="C169" s="1394"/>
      <c r="D169" s="1394"/>
      <c r="E169" s="1395"/>
      <c r="F169" s="1396" t="str">
        <f>"&gt; " &amp; 'TENDERER INPUT DATA'!$D$43</f>
        <v>&gt; 3000</v>
      </c>
      <c r="G169" s="1397"/>
      <c r="H169" s="1397"/>
      <c r="I169" s="1397"/>
      <c r="J169" s="1398"/>
      <c r="K169" s="543">
        <f t="shared" ref="K169:Q169" si="35">K38+K70+K102+K134+K166</f>
        <v>0</v>
      </c>
      <c r="L169" s="543">
        <f t="shared" si="35"/>
        <v>0</v>
      </c>
      <c r="M169" s="543">
        <f t="shared" si="35"/>
        <v>0</v>
      </c>
      <c r="N169" s="543">
        <f t="shared" si="35"/>
        <v>0</v>
      </c>
      <c r="O169" s="543">
        <f t="shared" si="35"/>
        <v>0</v>
      </c>
      <c r="P169" s="543">
        <f t="shared" si="35"/>
        <v>0</v>
      </c>
      <c r="Q169" s="544">
        <f t="shared" si="35"/>
        <v>0</v>
      </c>
    </row>
    <row r="170" spans="1:17">
      <c r="A170" s="271"/>
      <c r="B170" s="272"/>
      <c r="C170" s="272"/>
      <c r="D170" s="272"/>
      <c r="E170" s="272"/>
      <c r="F170" s="272"/>
      <c r="G170" s="272"/>
      <c r="H170" s="272"/>
      <c r="I170" s="272"/>
      <c r="J170" s="273"/>
      <c r="K170" s="274"/>
      <c r="L170" s="274"/>
      <c r="M170" s="274"/>
      <c r="N170" s="274"/>
      <c r="O170" s="274"/>
      <c r="P170" s="274"/>
      <c r="Q170" s="274"/>
    </row>
  </sheetData>
  <mergeCells count="53">
    <mergeCell ref="A169:E169"/>
    <mergeCell ref="F169:J169"/>
    <mergeCell ref="M74:O74"/>
    <mergeCell ref="A101:E102"/>
    <mergeCell ref="F101:J101"/>
    <mergeCell ref="F102:J102"/>
    <mergeCell ref="M106:O106"/>
    <mergeCell ref="A133:E134"/>
    <mergeCell ref="F133:J133"/>
    <mergeCell ref="F134:J134"/>
    <mergeCell ref="M138:O138"/>
    <mergeCell ref="A165:E166"/>
    <mergeCell ref="F165:J165"/>
    <mergeCell ref="F166:J166"/>
    <mergeCell ref="F168:J168"/>
    <mergeCell ref="A168:E168"/>
    <mergeCell ref="N3:Q3"/>
    <mergeCell ref="A6:Q6"/>
    <mergeCell ref="B8:C8"/>
    <mergeCell ref="D8:E8"/>
    <mergeCell ref="F8:J8"/>
    <mergeCell ref="M8:O8"/>
    <mergeCell ref="P8:Q8"/>
    <mergeCell ref="K3:L3"/>
    <mergeCell ref="H3:I3"/>
    <mergeCell ref="M10:O10"/>
    <mergeCell ref="A37:E38"/>
    <mergeCell ref="F37:J37"/>
    <mergeCell ref="F38:J38"/>
    <mergeCell ref="M42:O42"/>
    <mergeCell ref="B40:C40"/>
    <mergeCell ref="D40:E40"/>
    <mergeCell ref="F40:J40"/>
    <mergeCell ref="M40:O40"/>
    <mergeCell ref="P40:Q40"/>
    <mergeCell ref="B72:C72"/>
    <mergeCell ref="D72:E72"/>
    <mergeCell ref="F72:J72"/>
    <mergeCell ref="M72:O72"/>
    <mergeCell ref="P72:Q72"/>
    <mergeCell ref="A69:E70"/>
    <mergeCell ref="F69:J69"/>
    <mergeCell ref="F70:J70"/>
    <mergeCell ref="M104:O104"/>
    <mergeCell ref="P104:Q104"/>
    <mergeCell ref="B136:C136"/>
    <mergeCell ref="D136:E136"/>
    <mergeCell ref="F136:J136"/>
    <mergeCell ref="M136:O136"/>
    <mergeCell ref="P136:Q136"/>
    <mergeCell ref="B104:C104"/>
    <mergeCell ref="D104:E104"/>
    <mergeCell ref="F104:J104"/>
  </mergeCells>
  <pageMargins left="0.23622047244094491" right="0" top="0.27559055118110237" bottom="0.27559055118110237" header="0.11811023622047245" footer="0.11811023622047245"/>
  <pageSetup paperSize="9" scale="77" fitToHeight="0" orientation="landscape" blackAndWhite="1" horizontalDpi="300" verticalDpi="300" r:id="rId1"/>
  <headerFooter alignWithMargins="0">
    <oddHeader>&amp;L&amp;"Calibri"&amp;10&amp;K000000 Sensitivity - General&amp;1#_x000D_</oddHeader>
  </headerFooter>
  <rowBreaks count="4" manualBreakCount="4">
    <brk id="38" max="16383" man="1"/>
    <brk id="70" max="16383" man="1"/>
    <brk id="102" max="16383" man="1"/>
    <brk id="13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1">
    <tabColor rgb="FF0070C0"/>
    <pageSetUpPr fitToPage="1"/>
  </sheetPr>
  <dimension ref="A1:L52"/>
  <sheetViews>
    <sheetView zoomScaleNormal="100" zoomScaleSheetLayoutView="75" workbookViewId="0">
      <selection sqref="A1:E1"/>
    </sheetView>
  </sheetViews>
  <sheetFormatPr defaultRowHeight="13.2"/>
  <cols>
    <col min="1" max="2" width="9.109375" style="10"/>
    <col min="3" max="3" width="12" style="10" bestFit="1" customWidth="1"/>
    <col min="4" max="7" width="9.109375" style="10"/>
    <col min="8" max="8" width="17.33203125" style="10" customWidth="1"/>
    <col min="9" max="9" width="11.44140625" style="10" customWidth="1"/>
    <col min="10" max="11" width="11.33203125" style="10" customWidth="1"/>
    <col min="12" max="12" width="18.44140625" style="10" customWidth="1"/>
    <col min="13" max="258" width="9.109375" style="10"/>
    <col min="259" max="259" width="12" style="10" bestFit="1" customWidth="1"/>
    <col min="260" max="263" width="9.109375" style="10"/>
    <col min="264" max="264" width="17.33203125" style="10" customWidth="1"/>
    <col min="265" max="265" width="11.44140625" style="10" customWidth="1"/>
    <col min="266" max="267" width="11.33203125" style="10" customWidth="1"/>
    <col min="268" max="268" width="18.44140625" style="10" customWidth="1"/>
    <col min="269" max="514" width="9.109375" style="10"/>
    <col min="515" max="515" width="12" style="10" bestFit="1" customWidth="1"/>
    <col min="516" max="519" width="9.109375" style="10"/>
    <col min="520" max="520" width="17.33203125" style="10" customWidth="1"/>
    <col min="521" max="521" width="11.44140625" style="10" customWidth="1"/>
    <col min="522" max="523" width="11.33203125" style="10" customWidth="1"/>
    <col min="524" max="524" width="18.44140625" style="10" customWidth="1"/>
    <col min="525" max="770" width="9.109375" style="10"/>
    <col min="771" max="771" width="12" style="10" bestFit="1" customWidth="1"/>
    <col min="772" max="775" width="9.109375" style="10"/>
    <col min="776" max="776" width="17.33203125" style="10" customWidth="1"/>
    <col min="777" max="777" width="11.44140625" style="10" customWidth="1"/>
    <col min="778" max="779" width="11.33203125" style="10" customWidth="1"/>
    <col min="780" max="780" width="18.44140625" style="10" customWidth="1"/>
    <col min="781" max="1026" width="9.109375" style="10"/>
    <col min="1027" max="1027" width="12" style="10" bestFit="1" customWidth="1"/>
    <col min="1028" max="1031" width="9.109375" style="10"/>
    <col min="1032" max="1032" width="17.33203125" style="10" customWidth="1"/>
    <col min="1033" max="1033" width="11.44140625" style="10" customWidth="1"/>
    <col min="1034" max="1035" width="11.33203125" style="10" customWidth="1"/>
    <col min="1036" max="1036" width="18.44140625" style="10" customWidth="1"/>
    <col min="1037" max="1282" width="9.109375" style="10"/>
    <col min="1283" max="1283" width="12" style="10" bestFit="1" customWidth="1"/>
    <col min="1284" max="1287" width="9.109375" style="10"/>
    <col min="1288" max="1288" width="17.33203125" style="10" customWidth="1"/>
    <col min="1289" max="1289" width="11.44140625" style="10" customWidth="1"/>
    <col min="1290" max="1291" width="11.33203125" style="10" customWidth="1"/>
    <col min="1292" max="1292" width="18.44140625" style="10" customWidth="1"/>
    <col min="1293" max="1538" width="9.109375" style="10"/>
    <col min="1539" max="1539" width="12" style="10" bestFit="1" customWidth="1"/>
    <col min="1540" max="1543" width="9.109375" style="10"/>
    <col min="1544" max="1544" width="17.33203125" style="10" customWidth="1"/>
    <col min="1545" max="1545" width="11.44140625" style="10" customWidth="1"/>
    <col min="1546" max="1547" width="11.33203125" style="10" customWidth="1"/>
    <col min="1548" max="1548" width="18.44140625" style="10" customWidth="1"/>
    <col min="1549" max="1794" width="9.109375" style="10"/>
    <col min="1795" max="1795" width="12" style="10" bestFit="1" customWidth="1"/>
    <col min="1796" max="1799" width="9.109375" style="10"/>
    <col min="1800" max="1800" width="17.33203125" style="10" customWidth="1"/>
    <col min="1801" max="1801" width="11.44140625" style="10" customWidth="1"/>
    <col min="1802" max="1803" width="11.33203125" style="10" customWidth="1"/>
    <col min="1804" max="1804" width="18.44140625" style="10" customWidth="1"/>
    <col min="1805" max="2050" width="9.109375" style="10"/>
    <col min="2051" max="2051" width="12" style="10" bestFit="1" customWidth="1"/>
    <col min="2052" max="2055" width="9.109375" style="10"/>
    <col min="2056" max="2056" width="17.33203125" style="10" customWidth="1"/>
    <col min="2057" max="2057" width="11.44140625" style="10" customWidth="1"/>
    <col min="2058" max="2059" width="11.33203125" style="10" customWidth="1"/>
    <col min="2060" max="2060" width="18.44140625" style="10" customWidth="1"/>
    <col min="2061" max="2306" width="9.109375" style="10"/>
    <col min="2307" max="2307" width="12" style="10" bestFit="1" customWidth="1"/>
    <col min="2308" max="2311" width="9.109375" style="10"/>
    <col min="2312" max="2312" width="17.33203125" style="10" customWidth="1"/>
    <col min="2313" max="2313" width="11.44140625" style="10" customWidth="1"/>
    <col min="2314" max="2315" width="11.33203125" style="10" customWidth="1"/>
    <col min="2316" max="2316" width="18.44140625" style="10" customWidth="1"/>
    <col min="2317" max="2562" width="9.109375" style="10"/>
    <col min="2563" max="2563" width="12" style="10" bestFit="1" customWidth="1"/>
    <col min="2564" max="2567" width="9.109375" style="10"/>
    <col min="2568" max="2568" width="17.33203125" style="10" customWidth="1"/>
    <col min="2569" max="2569" width="11.44140625" style="10" customWidth="1"/>
    <col min="2570" max="2571" width="11.33203125" style="10" customWidth="1"/>
    <col min="2572" max="2572" width="18.44140625" style="10" customWidth="1"/>
    <col min="2573" max="2818" width="9.109375" style="10"/>
    <col min="2819" max="2819" width="12" style="10" bestFit="1" customWidth="1"/>
    <col min="2820" max="2823" width="9.109375" style="10"/>
    <col min="2824" max="2824" width="17.33203125" style="10" customWidth="1"/>
    <col min="2825" max="2825" width="11.44140625" style="10" customWidth="1"/>
    <col min="2826" max="2827" width="11.33203125" style="10" customWidth="1"/>
    <col min="2828" max="2828" width="18.44140625" style="10" customWidth="1"/>
    <col min="2829" max="3074" width="9.109375" style="10"/>
    <col min="3075" max="3075" width="12" style="10" bestFit="1" customWidth="1"/>
    <col min="3076" max="3079" width="9.109375" style="10"/>
    <col min="3080" max="3080" width="17.33203125" style="10" customWidth="1"/>
    <col min="3081" max="3081" width="11.44140625" style="10" customWidth="1"/>
    <col min="3082" max="3083" width="11.33203125" style="10" customWidth="1"/>
    <col min="3084" max="3084" width="18.44140625" style="10" customWidth="1"/>
    <col min="3085" max="3330" width="9.109375" style="10"/>
    <col min="3331" max="3331" width="12" style="10" bestFit="1" customWidth="1"/>
    <col min="3332" max="3335" width="9.109375" style="10"/>
    <col min="3336" max="3336" width="17.33203125" style="10" customWidth="1"/>
    <col min="3337" max="3337" width="11.44140625" style="10" customWidth="1"/>
    <col min="3338" max="3339" width="11.33203125" style="10" customWidth="1"/>
    <col min="3340" max="3340" width="18.44140625" style="10" customWidth="1"/>
    <col min="3341" max="3586" width="9.109375" style="10"/>
    <col min="3587" max="3587" width="12" style="10" bestFit="1" customWidth="1"/>
    <col min="3588" max="3591" width="9.109375" style="10"/>
    <col min="3592" max="3592" width="17.33203125" style="10" customWidth="1"/>
    <col min="3593" max="3593" width="11.44140625" style="10" customWidth="1"/>
    <col min="3594" max="3595" width="11.33203125" style="10" customWidth="1"/>
    <col min="3596" max="3596" width="18.44140625" style="10" customWidth="1"/>
    <col min="3597" max="3842" width="9.109375" style="10"/>
    <col min="3843" max="3843" width="12" style="10" bestFit="1" customWidth="1"/>
    <col min="3844" max="3847" width="9.109375" style="10"/>
    <col min="3848" max="3848" width="17.33203125" style="10" customWidth="1"/>
    <col min="3849" max="3849" width="11.44140625" style="10" customWidth="1"/>
    <col min="3850" max="3851" width="11.33203125" style="10" customWidth="1"/>
    <col min="3852" max="3852" width="18.44140625" style="10" customWidth="1"/>
    <col min="3853" max="4098" width="9.109375" style="10"/>
    <col min="4099" max="4099" width="12" style="10" bestFit="1" customWidth="1"/>
    <col min="4100" max="4103" width="9.109375" style="10"/>
    <col min="4104" max="4104" width="17.33203125" style="10" customWidth="1"/>
    <col min="4105" max="4105" width="11.44140625" style="10" customWidth="1"/>
    <col min="4106" max="4107" width="11.33203125" style="10" customWidth="1"/>
    <col min="4108" max="4108" width="18.44140625" style="10" customWidth="1"/>
    <col min="4109" max="4354" width="9.109375" style="10"/>
    <col min="4355" max="4355" width="12" style="10" bestFit="1" customWidth="1"/>
    <col min="4356" max="4359" width="9.109375" style="10"/>
    <col min="4360" max="4360" width="17.33203125" style="10" customWidth="1"/>
    <col min="4361" max="4361" width="11.44140625" style="10" customWidth="1"/>
    <col min="4362" max="4363" width="11.33203125" style="10" customWidth="1"/>
    <col min="4364" max="4364" width="18.44140625" style="10" customWidth="1"/>
    <col min="4365" max="4610" width="9.109375" style="10"/>
    <col min="4611" max="4611" width="12" style="10" bestFit="1" customWidth="1"/>
    <col min="4612" max="4615" width="9.109375" style="10"/>
    <col min="4616" max="4616" width="17.33203125" style="10" customWidth="1"/>
    <col min="4617" max="4617" width="11.44140625" style="10" customWidth="1"/>
    <col min="4618" max="4619" width="11.33203125" style="10" customWidth="1"/>
    <col min="4620" max="4620" width="18.44140625" style="10" customWidth="1"/>
    <col min="4621" max="4866" width="9.109375" style="10"/>
    <col min="4867" max="4867" width="12" style="10" bestFit="1" customWidth="1"/>
    <col min="4868" max="4871" width="9.109375" style="10"/>
    <col min="4872" max="4872" width="17.33203125" style="10" customWidth="1"/>
    <col min="4873" max="4873" width="11.44140625" style="10" customWidth="1"/>
    <col min="4874" max="4875" width="11.33203125" style="10" customWidth="1"/>
    <col min="4876" max="4876" width="18.44140625" style="10" customWidth="1"/>
    <col min="4877" max="5122" width="9.109375" style="10"/>
    <col min="5123" max="5123" width="12" style="10" bestFit="1" customWidth="1"/>
    <col min="5124" max="5127" width="9.109375" style="10"/>
    <col min="5128" max="5128" width="17.33203125" style="10" customWidth="1"/>
    <col min="5129" max="5129" width="11.44140625" style="10" customWidth="1"/>
    <col min="5130" max="5131" width="11.33203125" style="10" customWidth="1"/>
    <col min="5132" max="5132" width="18.44140625" style="10" customWidth="1"/>
    <col min="5133" max="5378" width="9.109375" style="10"/>
    <col min="5379" max="5379" width="12" style="10" bestFit="1" customWidth="1"/>
    <col min="5380" max="5383" width="9.109375" style="10"/>
    <col min="5384" max="5384" width="17.33203125" style="10" customWidth="1"/>
    <col min="5385" max="5385" width="11.44140625" style="10" customWidth="1"/>
    <col min="5386" max="5387" width="11.33203125" style="10" customWidth="1"/>
    <col min="5388" max="5388" width="18.44140625" style="10" customWidth="1"/>
    <col min="5389" max="5634" width="9.109375" style="10"/>
    <col min="5635" max="5635" width="12" style="10" bestFit="1" customWidth="1"/>
    <col min="5636" max="5639" width="9.109375" style="10"/>
    <col min="5640" max="5640" width="17.33203125" style="10" customWidth="1"/>
    <col min="5641" max="5641" width="11.44140625" style="10" customWidth="1"/>
    <col min="5642" max="5643" width="11.33203125" style="10" customWidth="1"/>
    <col min="5644" max="5644" width="18.44140625" style="10" customWidth="1"/>
    <col min="5645" max="5890" width="9.109375" style="10"/>
    <col min="5891" max="5891" width="12" style="10" bestFit="1" customWidth="1"/>
    <col min="5892" max="5895" width="9.109375" style="10"/>
    <col min="5896" max="5896" width="17.33203125" style="10" customWidth="1"/>
    <col min="5897" max="5897" width="11.44140625" style="10" customWidth="1"/>
    <col min="5898" max="5899" width="11.33203125" style="10" customWidth="1"/>
    <col min="5900" max="5900" width="18.44140625" style="10" customWidth="1"/>
    <col min="5901" max="6146" width="9.109375" style="10"/>
    <col min="6147" max="6147" width="12" style="10" bestFit="1" customWidth="1"/>
    <col min="6148" max="6151" width="9.109375" style="10"/>
    <col min="6152" max="6152" width="17.33203125" style="10" customWidth="1"/>
    <col min="6153" max="6153" width="11.44140625" style="10" customWidth="1"/>
    <col min="6154" max="6155" width="11.33203125" style="10" customWidth="1"/>
    <col min="6156" max="6156" width="18.44140625" style="10" customWidth="1"/>
    <col min="6157" max="6402" width="9.109375" style="10"/>
    <col min="6403" max="6403" width="12" style="10" bestFit="1" customWidth="1"/>
    <col min="6404" max="6407" width="9.109375" style="10"/>
    <col min="6408" max="6408" width="17.33203125" style="10" customWidth="1"/>
    <col min="6409" max="6409" width="11.44140625" style="10" customWidth="1"/>
    <col min="6410" max="6411" width="11.33203125" style="10" customWidth="1"/>
    <col min="6412" max="6412" width="18.44140625" style="10" customWidth="1"/>
    <col min="6413" max="6658" width="9.109375" style="10"/>
    <col min="6659" max="6659" width="12" style="10" bestFit="1" customWidth="1"/>
    <col min="6660" max="6663" width="9.109375" style="10"/>
    <col min="6664" max="6664" width="17.33203125" style="10" customWidth="1"/>
    <col min="6665" max="6665" width="11.44140625" style="10" customWidth="1"/>
    <col min="6666" max="6667" width="11.33203125" style="10" customWidth="1"/>
    <col min="6668" max="6668" width="18.44140625" style="10" customWidth="1"/>
    <col min="6669" max="6914" width="9.109375" style="10"/>
    <col min="6915" max="6915" width="12" style="10" bestFit="1" customWidth="1"/>
    <col min="6916" max="6919" width="9.109375" style="10"/>
    <col min="6920" max="6920" width="17.33203125" style="10" customWidth="1"/>
    <col min="6921" max="6921" width="11.44140625" style="10" customWidth="1"/>
    <col min="6922" max="6923" width="11.33203125" style="10" customWidth="1"/>
    <col min="6924" max="6924" width="18.44140625" style="10" customWidth="1"/>
    <col min="6925" max="7170" width="9.109375" style="10"/>
    <col min="7171" max="7171" width="12" style="10" bestFit="1" customWidth="1"/>
    <col min="7172" max="7175" width="9.109375" style="10"/>
    <col min="7176" max="7176" width="17.33203125" style="10" customWidth="1"/>
    <col min="7177" max="7177" width="11.44140625" style="10" customWidth="1"/>
    <col min="7178" max="7179" width="11.33203125" style="10" customWidth="1"/>
    <col min="7180" max="7180" width="18.44140625" style="10" customWidth="1"/>
    <col min="7181" max="7426" width="9.109375" style="10"/>
    <col min="7427" max="7427" width="12" style="10" bestFit="1" customWidth="1"/>
    <col min="7428" max="7431" width="9.109375" style="10"/>
    <col min="7432" max="7432" width="17.33203125" style="10" customWidth="1"/>
    <col min="7433" max="7433" width="11.44140625" style="10" customWidth="1"/>
    <col min="7434" max="7435" width="11.33203125" style="10" customWidth="1"/>
    <col min="7436" max="7436" width="18.44140625" style="10" customWidth="1"/>
    <col min="7437" max="7682" width="9.109375" style="10"/>
    <col min="7683" max="7683" width="12" style="10" bestFit="1" customWidth="1"/>
    <col min="7684" max="7687" width="9.109375" style="10"/>
    <col min="7688" max="7688" width="17.33203125" style="10" customWidth="1"/>
    <col min="7689" max="7689" width="11.44140625" style="10" customWidth="1"/>
    <col min="7690" max="7691" width="11.33203125" style="10" customWidth="1"/>
    <col min="7692" max="7692" width="18.44140625" style="10" customWidth="1"/>
    <col min="7693" max="7938" width="9.109375" style="10"/>
    <col min="7939" max="7939" width="12" style="10" bestFit="1" customWidth="1"/>
    <col min="7940" max="7943" width="9.109375" style="10"/>
    <col min="7944" max="7944" width="17.33203125" style="10" customWidth="1"/>
    <col min="7945" max="7945" width="11.44140625" style="10" customWidth="1"/>
    <col min="7946" max="7947" width="11.33203125" style="10" customWidth="1"/>
    <col min="7948" max="7948" width="18.44140625" style="10" customWidth="1"/>
    <col min="7949" max="8194" width="9.109375" style="10"/>
    <col min="8195" max="8195" width="12" style="10" bestFit="1" customWidth="1"/>
    <col min="8196" max="8199" width="9.109375" style="10"/>
    <col min="8200" max="8200" width="17.33203125" style="10" customWidth="1"/>
    <col min="8201" max="8201" width="11.44140625" style="10" customWidth="1"/>
    <col min="8202" max="8203" width="11.33203125" style="10" customWidth="1"/>
    <col min="8204" max="8204" width="18.44140625" style="10" customWidth="1"/>
    <col min="8205" max="8450" width="9.109375" style="10"/>
    <col min="8451" max="8451" width="12" style="10" bestFit="1" customWidth="1"/>
    <col min="8452" max="8455" width="9.109375" style="10"/>
    <col min="8456" max="8456" width="17.33203125" style="10" customWidth="1"/>
    <col min="8457" max="8457" width="11.44140625" style="10" customWidth="1"/>
    <col min="8458" max="8459" width="11.33203125" style="10" customWidth="1"/>
    <col min="8460" max="8460" width="18.44140625" style="10" customWidth="1"/>
    <col min="8461" max="8706" width="9.109375" style="10"/>
    <col min="8707" max="8707" width="12" style="10" bestFit="1" customWidth="1"/>
    <col min="8708" max="8711" width="9.109375" style="10"/>
    <col min="8712" max="8712" width="17.33203125" style="10" customWidth="1"/>
    <col min="8713" max="8713" width="11.44140625" style="10" customWidth="1"/>
    <col min="8714" max="8715" width="11.33203125" style="10" customWidth="1"/>
    <col min="8716" max="8716" width="18.44140625" style="10" customWidth="1"/>
    <col min="8717" max="8962" width="9.109375" style="10"/>
    <col min="8963" max="8963" width="12" style="10" bestFit="1" customWidth="1"/>
    <col min="8964" max="8967" width="9.109375" style="10"/>
    <col min="8968" max="8968" width="17.33203125" style="10" customWidth="1"/>
    <col min="8969" max="8969" width="11.44140625" style="10" customWidth="1"/>
    <col min="8970" max="8971" width="11.33203125" style="10" customWidth="1"/>
    <col min="8972" max="8972" width="18.44140625" style="10" customWidth="1"/>
    <col min="8973" max="9218" width="9.109375" style="10"/>
    <col min="9219" max="9219" width="12" style="10" bestFit="1" customWidth="1"/>
    <col min="9220" max="9223" width="9.109375" style="10"/>
    <col min="9224" max="9224" width="17.33203125" style="10" customWidth="1"/>
    <col min="9225" max="9225" width="11.44140625" style="10" customWidth="1"/>
    <col min="9226" max="9227" width="11.33203125" style="10" customWidth="1"/>
    <col min="9228" max="9228" width="18.44140625" style="10" customWidth="1"/>
    <col min="9229" max="9474" width="9.109375" style="10"/>
    <col min="9475" max="9475" width="12" style="10" bestFit="1" customWidth="1"/>
    <col min="9476" max="9479" width="9.109375" style="10"/>
    <col min="9480" max="9480" width="17.33203125" style="10" customWidth="1"/>
    <col min="9481" max="9481" width="11.44140625" style="10" customWidth="1"/>
    <col min="9482" max="9483" width="11.33203125" style="10" customWidth="1"/>
    <col min="9484" max="9484" width="18.44140625" style="10" customWidth="1"/>
    <col min="9485" max="9730" width="9.109375" style="10"/>
    <col min="9731" max="9731" width="12" style="10" bestFit="1" customWidth="1"/>
    <col min="9732" max="9735" width="9.109375" style="10"/>
    <col min="9736" max="9736" width="17.33203125" style="10" customWidth="1"/>
    <col min="9737" max="9737" width="11.44140625" style="10" customWidth="1"/>
    <col min="9738" max="9739" width="11.33203125" style="10" customWidth="1"/>
    <col min="9740" max="9740" width="18.44140625" style="10" customWidth="1"/>
    <col min="9741" max="9986" width="9.109375" style="10"/>
    <col min="9987" max="9987" width="12" style="10" bestFit="1" customWidth="1"/>
    <col min="9988" max="9991" width="9.109375" style="10"/>
    <col min="9992" max="9992" width="17.33203125" style="10" customWidth="1"/>
    <col min="9993" max="9993" width="11.44140625" style="10" customWidth="1"/>
    <col min="9994" max="9995" width="11.33203125" style="10" customWidth="1"/>
    <col min="9996" max="9996" width="18.44140625" style="10" customWidth="1"/>
    <col min="9997" max="10242" width="9.109375" style="10"/>
    <col min="10243" max="10243" width="12" style="10" bestFit="1" customWidth="1"/>
    <col min="10244" max="10247" width="9.109375" style="10"/>
    <col min="10248" max="10248" width="17.33203125" style="10" customWidth="1"/>
    <col min="10249" max="10249" width="11.44140625" style="10" customWidth="1"/>
    <col min="10250" max="10251" width="11.33203125" style="10" customWidth="1"/>
    <col min="10252" max="10252" width="18.44140625" style="10" customWidth="1"/>
    <col min="10253" max="10498" width="9.109375" style="10"/>
    <col min="10499" max="10499" width="12" style="10" bestFit="1" customWidth="1"/>
    <col min="10500" max="10503" width="9.109375" style="10"/>
    <col min="10504" max="10504" width="17.33203125" style="10" customWidth="1"/>
    <col min="10505" max="10505" width="11.44140625" style="10" customWidth="1"/>
    <col min="10506" max="10507" width="11.33203125" style="10" customWidth="1"/>
    <col min="10508" max="10508" width="18.44140625" style="10" customWidth="1"/>
    <col min="10509" max="10754" width="9.109375" style="10"/>
    <col min="10755" max="10755" width="12" style="10" bestFit="1" customWidth="1"/>
    <col min="10756" max="10759" width="9.109375" style="10"/>
    <col min="10760" max="10760" width="17.33203125" style="10" customWidth="1"/>
    <col min="10761" max="10761" width="11.44140625" style="10" customWidth="1"/>
    <col min="10762" max="10763" width="11.33203125" style="10" customWidth="1"/>
    <col min="10764" max="10764" width="18.44140625" style="10" customWidth="1"/>
    <col min="10765" max="11010" width="9.109375" style="10"/>
    <col min="11011" max="11011" width="12" style="10" bestFit="1" customWidth="1"/>
    <col min="11012" max="11015" width="9.109375" style="10"/>
    <col min="11016" max="11016" width="17.33203125" style="10" customWidth="1"/>
    <col min="11017" max="11017" width="11.44140625" style="10" customWidth="1"/>
    <col min="11018" max="11019" width="11.33203125" style="10" customWidth="1"/>
    <col min="11020" max="11020" width="18.44140625" style="10" customWidth="1"/>
    <col min="11021" max="11266" width="9.109375" style="10"/>
    <col min="11267" max="11267" width="12" style="10" bestFit="1" customWidth="1"/>
    <col min="11268" max="11271" width="9.109375" style="10"/>
    <col min="11272" max="11272" width="17.33203125" style="10" customWidth="1"/>
    <col min="11273" max="11273" width="11.44140625" style="10" customWidth="1"/>
    <col min="11274" max="11275" width="11.33203125" style="10" customWidth="1"/>
    <col min="11276" max="11276" width="18.44140625" style="10" customWidth="1"/>
    <col min="11277" max="11522" width="9.109375" style="10"/>
    <col min="11523" max="11523" width="12" style="10" bestFit="1" customWidth="1"/>
    <col min="11524" max="11527" width="9.109375" style="10"/>
    <col min="11528" max="11528" width="17.33203125" style="10" customWidth="1"/>
    <col min="11529" max="11529" width="11.44140625" style="10" customWidth="1"/>
    <col min="11530" max="11531" width="11.33203125" style="10" customWidth="1"/>
    <col min="11532" max="11532" width="18.44140625" style="10" customWidth="1"/>
    <col min="11533" max="11778" width="9.109375" style="10"/>
    <col min="11779" max="11779" width="12" style="10" bestFit="1" customWidth="1"/>
    <col min="11780" max="11783" width="9.109375" style="10"/>
    <col min="11784" max="11784" width="17.33203125" style="10" customWidth="1"/>
    <col min="11785" max="11785" width="11.44140625" style="10" customWidth="1"/>
    <col min="11786" max="11787" width="11.33203125" style="10" customWidth="1"/>
    <col min="11788" max="11788" width="18.44140625" style="10" customWidth="1"/>
    <col min="11789" max="12034" width="9.109375" style="10"/>
    <col min="12035" max="12035" width="12" style="10" bestFit="1" customWidth="1"/>
    <col min="12036" max="12039" width="9.109375" style="10"/>
    <col min="12040" max="12040" width="17.33203125" style="10" customWidth="1"/>
    <col min="12041" max="12041" width="11.44140625" style="10" customWidth="1"/>
    <col min="12042" max="12043" width="11.33203125" style="10" customWidth="1"/>
    <col min="12044" max="12044" width="18.44140625" style="10" customWidth="1"/>
    <col min="12045" max="12290" width="9.109375" style="10"/>
    <col min="12291" max="12291" width="12" style="10" bestFit="1" customWidth="1"/>
    <col min="12292" max="12295" width="9.109375" style="10"/>
    <col min="12296" max="12296" width="17.33203125" style="10" customWidth="1"/>
    <col min="12297" max="12297" width="11.44140625" style="10" customWidth="1"/>
    <col min="12298" max="12299" width="11.33203125" style="10" customWidth="1"/>
    <col min="12300" max="12300" width="18.44140625" style="10" customWidth="1"/>
    <col min="12301" max="12546" width="9.109375" style="10"/>
    <col min="12547" max="12547" width="12" style="10" bestFit="1" customWidth="1"/>
    <col min="12548" max="12551" width="9.109375" style="10"/>
    <col min="12552" max="12552" width="17.33203125" style="10" customWidth="1"/>
    <col min="12553" max="12553" width="11.44140625" style="10" customWidth="1"/>
    <col min="12554" max="12555" width="11.33203125" style="10" customWidth="1"/>
    <col min="12556" max="12556" width="18.44140625" style="10" customWidth="1"/>
    <col min="12557" max="12802" width="9.109375" style="10"/>
    <col min="12803" max="12803" width="12" style="10" bestFit="1" customWidth="1"/>
    <col min="12804" max="12807" width="9.109375" style="10"/>
    <col min="12808" max="12808" width="17.33203125" style="10" customWidth="1"/>
    <col min="12809" max="12809" width="11.44140625" style="10" customWidth="1"/>
    <col min="12810" max="12811" width="11.33203125" style="10" customWidth="1"/>
    <col min="12812" max="12812" width="18.44140625" style="10" customWidth="1"/>
    <col min="12813" max="13058" width="9.109375" style="10"/>
    <col min="13059" max="13059" width="12" style="10" bestFit="1" customWidth="1"/>
    <col min="13060" max="13063" width="9.109375" style="10"/>
    <col min="13064" max="13064" width="17.33203125" style="10" customWidth="1"/>
    <col min="13065" max="13065" width="11.44140625" style="10" customWidth="1"/>
    <col min="13066" max="13067" width="11.33203125" style="10" customWidth="1"/>
    <col min="13068" max="13068" width="18.44140625" style="10" customWidth="1"/>
    <col min="13069" max="13314" width="9.109375" style="10"/>
    <col min="13315" max="13315" width="12" style="10" bestFit="1" customWidth="1"/>
    <col min="13316" max="13319" width="9.109375" style="10"/>
    <col min="13320" max="13320" width="17.33203125" style="10" customWidth="1"/>
    <col min="13321" max="13321" width="11.44140625" style="10" customWidth="1"/>
    <col min="13322" max="13323" width="11.33203125" style="10" customWidth="1"/>
    <col min="13324" max="13324" width="18.44140625" style="10" customWidth="1"/>
    <col min="13325" max="13570" width="9.109375" style="10"/>
    <col min="13571" max="13571" width="12" style="10" bestFit="1" customWidth="1"/>
    <col min="13572" max="13575" width="9.109375" style="10"/>
    <col min="13576" max="13576" width="17.33203125" style="10" customWidth="1"/>
    <col min="13577" max="13577" width="11.44140625" style="10" customWidth="1"/>
    <col min="13578" max="13579" width="11.33203125" style="10" customWidth="1"/>
    <col min="13580" max="13580" width="18.44140625" style="10" customWidth="1"/>
    <col min="13581" max="13826" width="9.109375" style="10"/>
    <col min="13827" max="13827" width="12" style="10" bestFit="1" customWidth="1"/>
    <col min="13828" max="13831" width="9.109375" style="10"/>
    <col min="13832" max="13832" width="17.33203125" style="10" customWidth="1"/>
    <col min="13833" max="13833" width="11.44140625" style="10" customWidth="1"/>
    <col min="13834" max="13835" width="11.33203125" style="10" customWidth="1"/>
    <col min="13836" max="13836" width="18.44140625" style="10" customWidth="1"/>
    <col min="13837" max="14082" width="9.109375" style="10"/>
    <col min="14083" max="14083" width="12" style="10" bestFit="1" customWidth="1"/>
    <col min="14084" max="14087" width="9.109375" style="10"/>
    <col min="14088" max="14088" width="17.33203125" style="10" customWidth="1"/>
    <col min="14089" max="14089" width="11.44140625" style="10" customWidth="1"/>
    <col min="14090" max="14091" width="11.33203125" style="10" customWidth="1"/>
    <col min="14092" max="14092" width="18.44140625" style="10" customWidth="1"/>
    <col min="14093" max="14338" width="9.109375" style="10"/>
    <col min="14339" max="14339" width="12" style="10" bestFit="1" customWidth="1"/>
    <col min="14340" max="14343" width="9.109375" style="10"/>
    <col min="14344" max="14344" width="17.33203125" style="10" customWidth="1"/>
    <col min="14345" max="14345" width="11.44140625" style="10" customWidth="1"/>
    <col min="14346" max="14347" width="11.33203125" style="10" customWidth="1"/>
    <col min="14348" max="14348" width="18.44140625" style="10" customWidth="1"/>
    <col min="14349" max="14594" width="9.109375" style="10"/>
    <col min="14595" max="14595" width="12" style="10" bestFit="1" customWidth="1"/>
    <col min="14596" max="14599" width="9.109375" style="10"/>
    <col min="14600" max="14600" width="17.33203125" style="10" customWidth="1"/>
    <col min="14601" max="14601" width="11.44140625" style="10" customWidth="1"/>
    <col min="14602" max="14603" width="11.33203125" style="10" customWidth="1"/>
    <col min="14604" max="14604" width="18.44140625" style="10" customWidth="1"/>
    <col min="14605" max="14850" width="9.109375" style="10"/>
    <col min="14851" max="14851" width="12" style="10" bestFit="1" customWidth="1"/>
    <col min="14852" max="14855" width="9.109375" style="10"/>
    <col min="14856" max="14856" width="17.33203125" style="10" customWidth="1"/>
    <col min="14857" max="14857" width="11.44140625" style="10" customWidth="1"/>
    <col min="14858" max="14859" width="11.33203125" style="10" customWidth="1"/>
    <col min="14860" max="14860" width="18.44140625" style="10" customWidth="1"/>
    <col min="14861" max="15106" width="9.109375" style="10"/>
    <col min="15107" max="15107" width="12" style="10" bestFit="1" customWidth="1"/>
    <col min="15108" max="15111" width="9.109375" style="10"/>
    <col min="15112" max="15112" width="17.33203125" style="10" customWidth="1"/>
    <col min="15113" max="15113" width="11.44140625" style="10" customWidth="1"/>
    <col min="15114" max="15115" width="11.33203125" style="10" customWidth="1"/>
    <col min="15116" max="15116" width="18.44140625" style="10" customWidth="1"/>
    <col min="15117" max="15362" width="9.109375" style="10"/>
    <col min="15363" max="15363" width="12" style="10" bestFit="1" customWidth="1"/>
    <col min="15364" max="15367" width="9.109375" style="10"/>
    <col min="15368" max="15368" width="17.33203125" style="10" customWidth="1"/>
    <col min="15369" max="15369" width="11.44140625" style="10" customWidth="1"/>
    <col min="15370" max="15371" width="11.33203125" style="10" customWidth="1"/>
    <col min="15372" max="15372" width="18.44140625" style="10" customWidth="1"/>
    <col min="15373" max="15618" width="9.109375" style="10"/>
    <col min="15619" max="15619" width="12" style="10" bestFit="1" customWidth="1"/>
    <col min="15620" max="15623" width="9.109375" style="10"/>
    <col min="15624" max="15624" width="17.33203125" style="10" customWidth="1"/>
    <col min="15625" max="15625" width="11.44140625" style="10" customWidth="1"/>
    <col min="15626" max="15627" width="11.33203125" style="10" customWidth="1"/>
    <col min="15628" max="15628" width="18.44140625" style="10" customWidth="1"/>
    <col min="15629" max="15874" width="9.109375" style="10"/>
    <col min="15875" max="15875" width="12" style="10" bestFit="1" customWidth="1"/>
    <col min="15876" max="15879" width="9.109375" style="10"/>
    <col min="15880" max="15880" width="17.33203125" style="10" customWidth="1"/>
    <col min="15881" max="15881" width="11.44140625" style="10" customWidth="1"/>
    <col min="15882" max="15883" width="11.33203125" style="10" customWidth="1"/>
    <col min="15884" max="15884" width="18.44140625" style="10" customWidth="1"/>
    <col min="15885" max="16130" width="9.109375" style="10"/>
    <col min="16131" max="16131" width="12" style="10" bestFit="1" customWidth="1"/>
    <col min="16132" max="16135" width="9.109375" style="10"/>
    <col min="16136" max="16136" width="17.33203125" style="10" customWidth="1"/>
    <col min="16137" max="16137" width="11.44140625" style="10" customWidth="1"/>
    <col min="16138" max="16139" width="11.33203125" style="10" customWidth="1"/>
    <col min="16140" max="16140" width="18.44140625" style="10" customWidth="1"/>
    <col min="16141" max="16384" width="9.109375" style="10"/>
  </cols>
  <sheetData>
    <row r="1" spans="1:12" ht="15.6">
      <c r="L1" s="275" t="s">
        <v>258</v>
      </c>
    </row>
    <row r="2" spans="1:12" ht="8.25" customHeight="1">
      <c r="L2" s="94"/>
    </row>
    <row r="3" spans="1:12" ht="15.75" customHeight="1">
      <c r="A3" s="95" t="str">
        <f>'Pg 4 P Sums'!C3</f>
        <v>X.002-180-2024/1RF</v>
      </c>
      <c r="B3" s="96"/>
      <c r="C3" s="291"/>
      <c r="D3" s="98"/>
      <c r="E3" s="1392">
        <f>'F1  Cover'!L8</f>
        <v>46053</v>
      </c>
      <c r="F3" s="1392"/>
      <c r="G3" s="97"/>
      <c r="H3" s="1408" t="s">
        <v>259</v>
      </c>
      <c r="I3" s="1408"/>
      <c r="J3" s="1408"/>
      <c r="K3" s="1409">
        <f>'F1  Cover'!K8</f>
        <v>1</v>
      </c>
      <c r="L3" s="1410"/>
    </row>
    <row r="4" spans="1:12" ht="15.75" customHeight="1" thickBot="1"/>
    <row r="5" spans="1:12" ht="15.75" customHeight="1">
      <c r="A5" s="193"/>
      <c r="B5" s="194"/>
      <c r="C5" s="194"/>
      <c r="D5" s="194"/>
      <c r="E5" s="194"/>
      <c r="F5" s="194"/>
      <c r="G5" s="194"/>
      <c r="H5" s="194"/>
      <c r="I5" s="194"/>
      <c r="J5" s="194"/>
      <c r="K5" s="194"/>
      <c r="L5" s="277"/>
    </row>
    <row r="6" spans="1:12" ht="15.75" customHeight="1">
      <c r="A6" s="1349" t="s">
        <v>260</v>
      </c>
      <c r="B6" s="1350"/>
      <c r="C6" s="1350"/>
      <c r="D6" s="1350"/>
      <c r="E6" s="1350"/>
      <c r="F6" s="1350"/>
      <c r="G6" s="1350"/>
      <c r="H6" s="1350"/>
      <c r="I6" s="1350"/>
      <c r="J6" s="1350"/>
      <c r="K6" s="1350"/>
      <c r="L6" s="1351"/>
    </row>
    <row r="7" spans="1:12" ht="15.75" customHeight="1" thickBot="1">
      <c r="A7" s="278"/>
      <c r="L7" s="279"/>
    </row>
    <row r="8" spans="1:12" ht="15.75" customHeight="1" thickBot="1">
      <c r="A8" s="1411" t="s">
        <v>0</v>
      </c>
      <c r="B8" s="1412"/>
      <c r="C8" s="1412"/>
      <c r="D8" s="1412"/>
      <c r="E8" s="1412"/>
      <c r="F8" s="1412"/>
      <c r="G8" s="1412"/>
      <c r="H8" s="1413"/>
      <c r="I8" s="292" t="s">
        <v>1</v>
      </c>
      <c r="J8" s="292" t="s">
        <v>2</v>
      </c>
      <c r="K8" s="292" t="s">
        <v>3</v>
      </c>
      <c r="L8" s="293" t="s">
        <v>231</v>
      </c>
    </row>
    <row r="9" spans="1:12" ht="12.75" customHeight="1">
      <c r="A9" s="1414" t="str">
        <f>'RRM Pricing Schedule'!A102 &amp; " " &amp;'RRM Pricing Schedule'!B102</f>
        <v>3600 ADDITIONAL DUTIES</v>
      </c>
      <c r="B9" s="1415"/>
      <c r="C9" s="1415"/>
      <c r="D9" s="1415"/>
      <c r="E9" s="1415"/>
      <c r="F9" s="1415"/>
      <c r="G9" s="1415"/>
      <c r="H9" s="1416"/>
      <c r="I9" s="286"/>
      <c r="J9" s="286"/>
      <c r="K9" s="286"/>
      <c r="L9" s="287"/>
    </row>
    <row r="10" spans="1:12">
      <c r="A10" s="1417" t="s">
        <v>261</v>
      </c>
      <c r="B10" s="1418"/>
      <c r="C10" s="1418"/>
      <c r="D10" s="1418"/>
      <c r="E10" s="1418"/>
      <c r="F10" s="1418"/>
      <c r="G10" s="1418"/>
      <c r="H10" s="1419"/>
      <c r="I10" s="284"/>
      <c r="J10" s="284"/>
      <c r="K10" s="284"/>
      <c r="L10" s="289"/>
    </row>
    <row r="11" spans="1:12">
      <c r="A11" s="1405" t="s">
        <v>213</v>
      </c>
      <c r="B11" s="1406"/>
      <c r="C11" s="1406"/>
      <c r="D11" s="1406"/>
      <c r="E11" s="1406"/>
      <c r="F11" s="1406"/>
      <c r="G11" s="1406"/>
      <c r="H11" s="1407"/>
      <c r="I11" s="285"/>
      <c r="J11" s="285"/>
      <c r="K11" s="285"/>
      <c r="L11" s="288"/>
    </row>
    <row r="12" spans="1:12">
      <c r="A12" s="1405" t="s">
        <v>262</v>
      </c>
      <c r="B12" s="1406"/>
      <c r="C12" s="1406"/>
      <c r="D12" s="1406"/>
      <c r="E12" s="1406"/>
      <c r="F12" s="1406"/>
      <c r="G12" s="1406"/>
      <c r="H12" s="1407"/>
      <c r="I12" s="285"/>
      <c r="J12" s="285"/>
      <c r="K12" s="285"/>
      <c r="L12" s="288"/>
    </row>
    <row r="13" spans="1:12">
      <c r="A13" s="1405" t="s">
        <v>263</v>
      </c>
      <c r="B13" s="1406"/>
      <c r="C13" s="1406"/>
      <c r="D13" s="1406"/>
      <c r="E13" s="1406"/>
      <c r="F13" s="1406"/>
      <c r="G13" s="1406"/>
      <c r="H13" s="1407"/>
      <c r="I13" s="285"/>
      <c r="J13" s="285"/>
      <c r="K13" s="285"/>
      <c r="L13" s="288"/>
    </row>
    <row r="14" spans="1:12">
      <c r="A14" s="1405" t="s">
        <v>263</v>
      </c>
      <c r="B14" s="1406"/>
      <c r="C14" s="1406"/>
      <c r="D14" s="1406"/>
      <c r="E14" s="1406"/>
      <c r="F14" s="1406"/>
      <c r="G14" s="1406"/>
      <c r="H14" s="1407"/>
      <c r="I14" s="285"/>
      <c r="J14" s="285"/>
      <c r="K14" s="285"/>
      <c r="L14" s="288"/>
    </row>
    <row r="15" spans="1:12">
      <c r="A15" s="1405" t="s">
        <v>264</v>
      </c>
      <c r="B15" s="1406"/>
      <c r="C15" s="1406"/>
      <c r="D15" s="1406"/>
      <c r="E15" s="1406"/>
      <c r="F15" s="1406"/>
      <c r="G15" s="1406"/>
      <c r="H15" s="1407"/>
      <c r="I15" s="285" t="s">
        <v>265</v>
      </c>
      <c r="J15" s="285"/>
      <c r="K15" s="285"/>
      <c r="L15" s="288">
        <f>K15*J15</f>
        <v>0</v>
      </c>
    </row>
    <row r="16" spans="1:12">
      <c r="A16" s="1405" t="s">
        <v>266</v>
      </c>
      <c r="B16" s="1406"/>
      <c r="C16" s="1406"/>
      <c r="D16" s="1406"/>
      <c r="E16" s="1406"/>
      <c r="F16" s="1406"/>
      <c r="G16" s="1406"/>
      <c r="H16" s="1407"/>
      <c r="I16" s="285"/>
      <c r="J16" s="285"/>
      <c r="K16" s="285"/>
      <c r="L16" s="288"/>
    </row>
    <row r="17" spans="1:12">
      <c r="A17" s="1405" t="s">
        <v>267</v>
      </c>
      <c r="B17" s="1406"/>
      <c r="C17" s="1406"/>
      <c r="D17" s="1406"/>
      <c r="E17" s="1406"/>
      <c r="F17" s="1406"/>
      <c r="G17" s="1406"/>
      <c r="H17" s="1407"/>
      <c r="I17" s="285"/>
      <c r="J17" s="285"/>
      <c r="K17" s="285"/>
      <c r="L17" s="288"/>
    </row>
    <row r="18" spans="1:12">
      <c r="A18" s="1405" t="s">
        <v>267</v>
      </c>
      <c r="B18" s="1406"/>
      <c r="C18" s="1406"/>
      <c r="D18" s="1406"/>
      <c r="E18" s="1406"/>
      <c r="F18" s="1406"/>
      <c r="G18" s="1406"/>
      <c r="H18" s="1407"/>
      <c r="I18" s="285"/>
      <c r="J18" s="285"/>
      <c r="K18" s="285"/>
      <c r="L18" s="288"/>
    </row>
    <row r="19" spans="1:12">
      <c r="A19" s="1420" t="s">
        <v>94</v>
      </c>
      <c r="B19" s="1421"/>
      <c r="C19" s="1421"/>
      <c r="D19" s="1421"/>
      <c r="E19" s="1421"/>
      <c r="F19" s="1421"/>
      <c r="G19" s="1421"/>
      <c r="H19" s="1422"/>
      <c r="I19" s="285"/>
      <c r="J19" s="285"/>
      <c r="K19" s="285"/>
      <c r="L19" s="288"/>
    </row>
    <row r="20" spans="1:12">
      <c r="A20" s="1420" t="s">
        <v>268</v>
      </c>
      <c r="B20" s="1421"/>
      <c r="C20" s="1421"/>
      <c r="D20" s="1421"/>
      <c r="E20" s="1421"/>
      <c r="F20" s="1421"/>
      <c r="G20" s="1421"/>
      <c r="H20" s="1422"/>
      <c r="I20" s="285" t="s">
        <v>269</v>
      </c>
      <c r="J20" s="285"/>
      <c r="K20" s="285"/>
      <c r="L20" s="288">
        <f>K20*J20</f>
        <v>0</v>
      </c>
    </row>
    <row r="21" spans="1:12">
      <c r="A21" s="1420" t="s">
        <v>270</v>
      </c>
      <c r="B21" s="1421"/>
      <c r="C21" s="1421"/>
      <c r="D21" s="1421"/>
      <c r="E21" s="1421"/>
      <c r="F21" s="1421"/>
      <c r="G21" s="1421"/>
      <c r="H21" s="1422"/>
      <c r="I21" s="285"/>
      <c r="J21" s="285"/>
      <c r="K21" s="285"/>
      <c r="L21" s="288"/>
    </row>
    <row r="22" spans="1:12">
      <c r="A22" s="1423" t="s">
        <v>270</v>
      </c>
      <c r="B22" s="1424"/>
      <c r="C22" s="1424"/>
      <c r="D22" s="1424"/>
      <c r="E22" s="1424"/>
      <c r="F22" s="1424"/>
      <c r="G22" s="1424"/>
      <c r="H22" s="1425"/>
      <c r="I22" s="742"/>
      <c r="J22" s="742"/>
      <c r="K22" s="742"/>
      <c r="L22" s="743"/>
    </row>
    <row r="23" spans="1:12" ht="13.8" thickBot="1">
      <c r="A23" s="1426"/>
      <c r="B23" s="1427"/>
      <c r="C23" s="1427"/>
      <c r="D23" s="1427"/>
      <c r="E23" s="1427"/>
      <c r="F23" s="1427"/>
      <c r="G23" s="1427"/>
      <c r="H23" s="1428"/>
      <c r="I23" s="1429" t="s">
        <v>196</v>
      </c>
      <c r="J23" s="1430"/>
      <c r="K23" s="1431"/>
      <c r="L23" s="744">
        <f>SUM(L11:L22)</f>
        <v>0</v>
      </c>
    </row>
    <row r="24" spans="1:12">
      <c r="A24" s="1417" t="s">
        <v>271</v>
      </c>
      <c r="B24" s="1418"/>
      <c r="C24" s="1418"/>
      <c r="D24" s="1418"/>
      <c r="E24" s="1418"/>
      <c r="F24" s="1418"/>
      <c r="G24" s="1418"/>
      <c r="H24" s="1419"/>
      <c r="I24" s="296"/>
      <c r="J24" s="296"/>
      <c r="K24" s="296"/>
      <c r="L24" s="735"/>
    </row>
    <row r="25" spans="1:12">
      <c r="A25" s="1405" t="s">
        <v>213</v>
      </c>
      <c r="B25" s="1406"/>
      <c r="C25" s="1406"/>
      <c r="D25" s="1406"/>
      <c r="E25" s="1406"/>
      <c r="F25" s="1406"/>
      <c r="G25" s="1406"/>
      <c r="H25" s="1407"/>
      <c r="I25" s="285"/>
      <c r="J25" s="285"/>
      <c r="K25" s="285"/>
      <c r="L25" s="288"/>
    </row>
    <row r="26" spans="1:12">
      <c r="A26" s="1405" t="s">
        <v>262</v>
      </c>
      <c r="B26" s="1406"/>
      <c r="C26" s="1406"/>
      <c r="D26" s="1406"/>
      <c r="E26" s="1406"/>
      <c r="F26" s="1406"/>
      <c r="G26" s="1406"/>
      <c r="H26" s="1407"/>
      <c r="I26" s="285"/>
      <c r="J26" s="285"/>
      <c r="K26" s="285"/>
      <c r="L26" s="288"/>
    </row>
    <row r="27" spans="1:12">
      <c r="A27" s="1405" t="s">
        <v>263</v>
      </c>
      <c r="B27" s="1406"/>
      <c r="C27" s="1406"/>
      <c r="D27" s="1406"/>
      <c r="E27" s="1406"/>
      <c r="F27" s="1406"/>
      <c r="G27" s="1406"/>
      <c r="H27" s="1407"/>
      <c r="I27" s="285"/>
      <c r="J27" s="285"/>
      <c r="K27" s="285"/>
      <c r="L27" s="288"/>
    </row>
    <row r="28" spans="1:12">
      <c r="A28" s="1405" t="s">
        <v>263</v>
      </c>
      <c r="B28" s="1406"/>
      <c r="C28" s="1406"/>
      <c r="D28" s="1406"/>
      <c r="E28" s="1406"/>
      <c r="F28" s="1406"/>
      <c r="G28" s="1406"/>
      <c r="H28" s="1407"/>
      <c r="I28" s="285"/>
      <c r="J28" s="285"/>
      <c r="K28" s="285"/>
      <c r="L28" s="288"/>
    </row>
    <row r="29" spans="1:12">
      <c r="A29" s="1405" t="s">
        <v>266</v>
      </c>
      <c r="B29" s="1406"/>
      <c r="C29" s="1406"/>
      <c r="D29" s="1406"/>
      <c r="E29" s="1406"/>
      <c r="F29" s="1406"/>
      <c r="G29" s="1406"/>
      <c r="H29" s="1407"/>
      <c r="I29" s="285"/>
      <c r="J29" s="285"/>
      <c r="K29" s="285"/>
      <c r="L29" s="288"/>
    </row>
    <row r="30" spans="1:12">
      <c r="A30" s="1405" t="s">
        <v>266</v>
      </c>
      <c r="B30" s="1406"/>
      <c r="C30" s="1406"/>
      <c r="D30" s="1406"/>
      <c r="E30" s="1406"/>
      <c r="F30" s="1406"/>
      <c r="G30" s="1406"/>
      <c r="H30" s="1407"/>
      <c r="I30" s="285"/>
      <c r="J30" s="285"/>
      <c r="K30" s="285"/>
      <c r="L30" s="288"/>
    </row>
    <row r="31" spans="1:12">
      <c r="A31" s="1405" t="s">
        <v>267</v>
      </c>
      <c r="B31" s="1406"/>
      <c r="C31" s="1406"/>
      <c r="D31" s="1406"/>
      <c r="E31" s="1406"/>
      <c r="F31" s="1406"/>
      <c r="G31" s="1406"/>
      <c r="H31" s="1407"/>
      <c r="I31" s="285"/>
      <c r="J31" s="285"/>
      <c r="K31" s="285"/>
      <c r="L31" s="288"/>
    </row>
    <row r="32" spans="1:12">
      <c r="A32" s="1405" t="s">
        <v>267</v>
      </c>
      <c r="B32" s="1406"/>
      <c r="C32" s="1406"/>
      <c r="D32" s="1406"/>
      <c r="E32" s="1406"/>
      <c r="F32" s="1406"/>
      <c r="G32" s="1406"/>
      <c r="H32" s="1407"/>
      <c r="I32" s="285"/>
      <c r="J32" s="285"/>
      <c r="K32" s="285"/>
      <c r="L32" s="288"/>
    </row>
    <row r="33" spans="1:12">
      <c r="A33" s="1420" t="s">
        <v>94</v>
      </c>
      <c r="B33" s="1421"/>
      <c r="C33" s="1421"/>
      <c r="D33" s="1421"/>
      <c r="E33" s="1421"/>
      <c r="F33" s="1421"/>
      <c r="G33" s="1421"/>
      <c r="H33" s="1422"/>
      <c r="I33" s="285"/>
      <c r="J33" s="285"/>
      <c r="K33" s="285"/>
      <c r="L33" s="288"/>
    </row>
    <row r="34" spans="1:12">
      <c r="A34" s="1420" t="s">
        <v>272</v>
      </c>
      <c r="B34" s="1421"/>
      <c r="C34" s="1421"/>
      <c r="D34" s="1421"/>
      <c r="E34" s="1421"/>
      <c r="F34" s="1421"/>
      <c r="G34" s="1421"/>
      <c r="H34" s="1422"/>
      <c r="I34" s="285"/>
      <c r="J34" s="285"/>
      <c r="K34" s="285"/>
      <c r="L34" s="288"/>
    </row>
    <row r="35" spans="1:12">
      <c r="A35" s="1420" t="s">
        <v>270</v>
      </c>
      <c r="B35" s="1421"/>
      <c r="C35" s="1421"/>
      <c r="D35" s="1421"/>
      <c r="E35" s="1421"/>
      <c r="F35" s="1421"/>
      <c r="G35" s="1421"/>
      <c r="H35" s="1422"/>
      <c r="I35" s="285"/>
      <c r="J35" s="285"/>
      <c r="K35" s="285"/>
      <c r="L35" s="288"/>
    </row>
    <row r="36" spans="1:12">
      <c r="A36" s="1423" t="s">
        <v>270</v>
      </c>
      <c r="B36" s="1424"/>
      <c r="C36" s="1424"/>
      <c r="D36" s="1424"/>
      <c r="E36" s="1424"/>
      <c r="F36" s="1424"/>
      <c r="G36" s="1424"/>
      <c r="H36" s="1425"/>
      <c r="I36" s="742"/>
      <c r="J36" s="742"/>
      <c r="K36" s="742"/>
      <c r="L36" s="743"/>
    </row>
    <row r="37" spans="1:12" ht="13.8" thickBot="1">
      <c r="A37" s="1426"/>
      <c r="B37" s="1427"/>
      <c r="C37" s="1427"/>
      <c r="D37" s="1427"/>
      <c r="E37" s="1427"/>
      <c r="F37" s="1427"/>
      <c r="G37" s="1427"/>
      <c r="H37" s="1428"/>
      <c r="I37" s="1429" t="s">
        <v>196</v>
      </c>
      <c r="J37" s="1430"/>
      <c r="K37" s="1431"/>
      <c r="L37" s="745">
        <f>SUM(L25:L36)</f>
        <v>0</v>
      </c>
    </row>
    <row r="38" spans="1:12">
      <c r="A38" s="1417" t="s">
        <v>569</v>
      </c>
      <c r="B38" s="1418"/>
      <c r="C38" s="1418"/>
      <c r="D38" s="1418"/>
      <c r="E38" s="1418"/>
      <c r="F38" s="1418"/>
      <c r="G38" s="1418"/>
      <c r="H38" s="1419"/>
      <c r="I38" s="296"/>
      <c r="J38" s="296"/>
      <c r="K38" s="296"/>
      <c r="L38" s="735"/>
    </row>
    <row r="39" spans="1:12">
      <c r="A39" s="1405" t="s">
        <v>213</v>
      </c>
      <c r="B39" s="1406"/>
      <c r="C39" s="1406"/>
      <c r="D39" s="1406"/>
      <c r="E39" s="1406"/>
      <c r="F39" s="1406"/>
      <c r="G39" s="1406"/>
      <c r="H39" s="1407"/>
      <c r="I39" s="285"/>
      <c r="J39" s="285"/>
      <c r="K39" s="285"/>
      <c r="L39" s="288"/>
    </row>
    <row r="40" spans="1:12">
      <c r="A40" s="1405" t="s">
        <v>262</v>
      </c>
      <c r="B40" s="1406"/>
      <c r="C40" s="1406"/>
      <c r="D40" s="1406"/>
      <c r="E40" s="1406"/>
      <c r="F40" s="1406"/>
      <c r="G40" s="1406"/>
      <c r="H40" s="1407"/>
      <c r="I40" s="285"/>
      <c r="J40" s="285"/>
      <c r="K40" s="285"/>
      <c r="L40" s="288"/>
    </row>
    <row r="41" spans="1:12">
      <c r="A41" s="1405" t="s">
        <v>263</v>
      </c>
      <c r="B41" s="1406"/>
      <c r="C41" s="1406"/>
      <c r="D41" s="1406"/>
      <c r="E41" s="1406"/>
      <c r="F41" s="1406"/>
      <c r="G41" s="1406"/>
      <c r="H41" s="1407"/>
      <c r="I41" s="285"/>
      <c r="J41" s="285"/>
      <c r="K41" s="285"/>
      <c r="L41" s="288"/>
    </row>
    <row r="42" spans="1:12">
      <c r="A42" s="1405" t="s">
        <v>263</v>
      </c>
      <c r="B42" s="1406"/>
      <c r="C42" s="1406"/>
      <c r="D42" s="1406"/>
      <c r="E42" s="1406"/>
      <c r="F42" s="1406"/>
      <c r="G42" s="1406"/>
      <c r="H42" s="1407"/>
      <c r="I42" s="285"/>
      <c r="J42" s="285"/>
      <c r="K42" s="285"/>
      <c r="L42" s="288"/>
    </row>
    <row r="43" spans="1:12">
      <c r="A43" s="1405" t="s">
        <v>266</v>
      </c>
      <c r="B43" s="1406"/>
      <c r="C43" s="1406"/>
      <c r="D43" s="1406"/>
      <c r="E43" s="1406"/>
      <c r="F43" s="1406"/>
      <c r="G43" s="1406"/>
      <c r="H43" s="1407"/>
      <c r="I43" s="285"/>
      <c r="J43" s="285"/>
      <c r="K43" s="285"/>
      <c r="L43" s="288"/>
    </row>
    <row r="44" spans="1:12">
      <c r="A44" s="1405" t="s">
        <v>266</v>
      </c>
      <c r="B44" s="1406"/>
      <c r="C44" s="1406"/>
      <c r="D44" s="1406"/>
      <c r="E44" s="1406"/>
      <c r="F44" s="1406"/>
      <c r="G44" s="1406"/>
      <c r="H44" s="1407"/>
      <c r="I44" s="285"/>
      <c r="J44" s="285"/>
      <c r="K44" s="285"/>
      <c r="L44" s="288"/>
    </row>
    <row r="45" spans="1:12">
      <c r="A45" s="1405" t="s">
        <v>267</v>
      </c>
      <c r="B45" s="1406"/>
      <c r="C45" s="1406"/>
      <c r="D45" s="1406"/>
      <c r="E45" s="1406"/>
      <c r="F45" s="1406"/>
      <c r="G45" s="1406"/>
      <c r="H45" s="1407"/>
      <c r="I45" s="285"/>
      <c r="J45" s="285"/>
      <c r="K45" s="285"/>
      <c r="L45" s="288"/>
    </row>
    <row r="46" spans="1:12">
      <c r="A46" s="1405" t="s">
        <v>267</v>
      </c>
      <c r="B46" s="1406"/>
      <c r="C46" s="1406"/>
      <c r="D46" s="1406"/>
      <c r="E46" s="1406"/>
      <c r="F46" s="1406"/>
      <c r="G46" s="1406"/>
      <c r="H46" s="1407"/>
      <c r="I46" s="285"/>
      <c r="J46" s="285"/>
      <c r="K46" s="285"/>
      <c r="L46" s="288"/>
    </row>
    <row r="47" spans="1:12">
      <c r="A47" s="1420" t="s">
        <v>94</v>
      </c>
      <c r="B47" s="1421"/>
      <c r="C47" s="1421"/>
      <c r="D47" s="1421"/>
      <c r="E47" s="1421"/>
      <c r="F47" s="1421"/>
      <c r="G47" s="1421"/>
      <c r="H47" s="1422"/>
      <c r="I47" s="285"/>
      <c r="J47" s="285"/>
      <c r="K47" s="285"/>
      <c r="L47" s="288"/>
    </row>
    <row r="48" spans="1:12">
      <c r="A48" s="1420" t="s">
        <v>272</v>
      </c>
      <c r="B48" s="1421"/>
      <c r="C48" s="1421"/>
      <c r="D48" s="1421"/>
      <c r="E48" s="1421"/>
      <c r="F48" s="1421"/>
      <c r="G48" s="1421"/>
      <c r="H48" s="1422"/>
      <c r="I48" s="285"/>
      <c r="J48" s="285"/>
      <c r="K48" s="285"/>
      <c r="L48" s="288"/>
    </row>
    <row r="49" spans="1:12">
      <c r="A49" s="1420" t="s">
        <v>270</v>
      </c>
      <c r="B49" s="1421"/>
      <c r="C49" s="1421"/>
      <c r="D49" s="1421"/>
      <c r="E49" s="1421"/>
      <c r="F49" s="1421"/>
      <c r="G49" s="1421"/>
      <c r="H49" s="1422"/>
      <c r="I49" s="285"/>
      <c r="J49" s="285"/>
      <c r="K49" s="285"/>
      <c r="L49" s="288"/>
    </row>
    <row r="50" spans="1:12">
      <c r="A50" s="1423" t="s">
        <v>270</v>
      </c>
      <c r="B50" s="1424"/>
      <c r="C50" s="1424"/>
      <c r="D50" s="1424"/>
      <c r="E50" s="1424"/>
      <c r="F50" s="1424"/>
      <c r="G50" s="1424"/>
      <c r="H50" s="1425"/>
      <c r="I50" s="742"/>
      <c r="J50" s="742"/>
      <c r="K50" s="742"/>
      <c r="L50" s="743"/>
    </row>
    <row r="51" spans="1:12" ht="13.8" thickBot="1">
      <c r="A51" s="1426"/>
      <c r="B51" s="1427"/>
      <c r="C51" s="1427"/>
      <c r="D51" s="1427"/>
      <c r="E51" s="1427"/>
      <c r="F51" s="1427"/>
      <c r="G51" s="1427"/>
      <c r="H51" s="1428"/>
      <c r="I51" s="1429" t="s">
        <v>196</v>
      </c>
      <c r="J51" s="1430"/>
      <c r="K51" s="1431"/>
      <c r="L51" s="745">
        <f>SUM(L39:L50)</f>
        <v>0</v>
      </c>
    </row>
    <row r="52" spans="1:12" ht="21" customHeight="1" thickBot="1">
      <c r="A52" s="1432" t="s">
        <v>273</v>
      </c>
      <c r="B52" s="1433"/>
      <c r="C52" s="1433"/>
      <c r="D52" s="1433"/>
      <c r="E52" s="1433"/>
      <c r="F52" s="1433"/>
      <c r="G52" s="1433"/>
      <c r="H52" s="1433"/>
      <c r="I52" s="1433"/>
      <c r="J52" s="1433"/>
      <c r="K52" s="1434"/>
      <c r="L52" s="294">
        <f>L23+L37+L51</f>
        <v>0</v>
      </c>
    </row>
  </sheetData>
  <mergeCells count="52">
    <mergeCell ref="A37:H37"/>
    <mergeCell ref="I37:K37"/>
    <mergeCell ref="A32:H32"/>
    <mergeCell ref="A33:H33"/>
    <mergeCell ref="A34:H34"/>
    <mergeCell ref="A35:H35"/>
    <mergeCell ref="A36:H36"/>
    <mergeCell ref="I23:K23"/>
    <mergeCell ref="A38:H38"/>
    <mergeCell ref="A39:H39"/>
    <mergeCell ref="A40:H40"/>
    <mergeCell ref="A52:K52"/>
    <mergeCell ref="A42:H42"/>
    <mergeCell ref="A43:H43"/>
    <mergeCell ref="A44:H44"/>
    <mergeCell ref="A45:H45"/>
    <mergeCell ref="A46:H46"/>
    <mergeCell ref="A47:H47"/>
    <mergeCell ref="A48:H48"/>
    <mergeCell ref="A49:H49"/>
    <mergeCell ref="A50:H50"/>
    <mergeCell ref="A51:H51"/>
    <mergeCell ref="I51:K51"/>
    <mergeCell ref="A41:H41"/>
    <mergeCell ref="A17:H17"/>
    <mergeCell ref="A18:H18"/>
    <mergeCell ref="A19:H19"/>
    <mergeCell ref="A20:H20"/>
    <mergeCell ref="A21:H21"/>
    <mergeCell ref="A22:H22"/>
    <mergeCell ref="A23:H23"/>
    <mergeCell ref="A24:H24"/>
    <mergeCell ref="A25:H25"/>
    <mergeCell ref="A26:H26"/>
    <mergeCell ref="A27:H27"/>
    <mergeCell ref="A28:H28"/>
    <mergeCell ref="A29:H29"/>
    <mergeCell ref="A30:H30"/>
    <mergeCell ref="A31:H31"/>
    <mergeCell ref="A16:H16"/>
    <mergeCell ref="H3:J3"/>
    <mergeCell ref="K3:L3"/>
    <mergeCell ref="A6:L6"/>
    <mergeCell ref="A8:H8"/>
    <mergeCell ref="A9:H9"/>
    <mergeCell ref="A10:H10"/>
    <mergeCell ref="A11:H11"/>
    <mergeCell ref="A12:H12"/>
    <mergeCell ref="A13:H13"/>
    <mergeCell ref="A14:H14"/>
    <mergeCell ref="A15:H15"/>
    <mergeCell ref="E3:F3"/>
  </mergeCells>
  <pageMargins left="0.35433070866141736" right="0.35433070866141736" top="0.43307086614173229" bottom="0" header="0.51181102362204722" footer="0.27559055118110237"/>
  <pageSetup paperSize="9" fitToHeight="0" orientation="landscape" blackAndWhite="1" r:id="rId1"/>
  <headerFooter alignWithMargins="0">
    <oddHeader>&amp;L&amp;"Calibri"&amp;10&amp;K000000 Sensitivity - General&amp;1#_x000D_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0">
    <tabColor rgb="FF0070C0"/>
    <pageSetUpPr fitToPage="1"/>
  </sheetPr>
  <dimension ref="A1:L266"/>
  <sheetViews>
    <sheetView zoomScaleNormal="100" zoomScaleSheetLayoutView="75" workbookViewId="0">
      <selection activeCell="L38" sqref="L38"/>
    </sheetView>
  </sheetViews>
  <sheetFormatPr defaultRowHeight="13.2"/>
  <cols>
    <col min="1" max="1" width="9.44140625" style="10" bestFit="1" customWidth="1"/>
    <col min="2" max="2" width="9.109375" style="10"/>
    <col min="3" max="3" width="12" style="10" bestFit="1" customWidth="1"/>
    <col min="4" max="7" width="9.109375" style="10"/>
    <col min="8" max="8" width="17.33203125" style="10" customWidth="1"/>
    <col min="9" max="9" width="9.6640625" style="10" customWidth="1"/>
    <col min="10" max="10" width="12.6640625" style="10" customWidth="1"/>
    <col min="11" max="11" width="19.5546875" style="10" bestFit="1" customWidth="1"/>
    <col min="12" max="12" width="16.5546875" style="10" bestFit="1" customWidth="1"/>
    <col min="13" max="256" width="9.109375" style="10"/>
    <col min="257" max="257" width="9.44140625" style="10" bestFit="1" customWidth="1"/>
    <col min="258" max="258" width="9.109375" style="10"/>
    <col min="259" max="259" width="12" style="10" bestFit="1" customWidth="1"/>
    <col min="260" max="263" width="9.109375" style="10"/>
    <col min="264" max="264" width="17.33203125" style="10" customWidth="1"/>
    <col min="265" max="265" width="9.6640625" style="10" customWidth="1"/>
    <col min="266" max="266" width="12.6640625" style="10" customWidth="1"/>
    <col min="267" max="267" width="13.44140625" style="10" bestFit="1" customWidth="1"/>
    <col min="268" max="268" width="16.5546875" style="10" bestFit="1" customWidth="1"/>
    <col min="269" max="512" width="9.109375" style="10"/>
    <col min="513" max="513" width="9.44140625" style="10" bestFit="1" customWidth="1"/>
    <col min="514" max="514" width="9.109375" style="10"/>
    <col min="515" max="515" width="12" style="10" bestFit="1" customWidth="1"/>
    <col min="516" max="519" width="9.109375" style="10"/>
    <col min="520" max="520" width="17.33203125" style="10" customWidth="1"/>
    <col min="521" max="521" width="9.6640625" style="10" customWidth="1"/>
    <col min="522" max="522" width="12.6640625" style="10" customWidth="1"/>
    <col min="523" max="523" width="13.44140625" style="10" bestFit="1" customWidth="1"/>
    <col min="524" max="524" width="16.5546875" style="10" bestFit="1" customWidth="1"/>
    <col min="525" max="768" width="9.109375" style="10"/>
    <col min="769" max="769" width="9.44140625" style="10" bestFit="1" customWidth="1"/>
    <col min="770" max="770" width="9.109375" style="10"/>
    <col min="771" max="771" width="12" style="10" bestFit="1" customWidth="1"/>
    <col min="772" max="775" width="9.109375" style="10"/>
    <col min="776" max="776" width="17.33203125" style="10" customWidth="1"/>
    <col min="777" max="777" width="9.6640625" style="10" customWidth="1"/>
    <col min="778" max="778" width="12.6640625" style="10" customWidth="1"/>
    <col min="779" max="779" width="13.44140625" style="10" bestFit="1" customWidth="1"/>
    <col min="780" max="780" width="16.5546875" style="10" bestFit="1" customWidth="1"/>
    <col min="781" max="1024" width="9.109375" style="10"/>
    <col min="1025" max="1025" width="9.44140625" style="10" bestFit="1" customWidth="1"/>
    <col min="1026" max="1026" width="9.109375" style="10"/>
    <col min="1027" max="1027" width="12" style="10" bestFit="1" customWidth="1"/>
    <col min="1028" max="1031" width="9.109375" style="10"/>
    <col min="1032" max="1032" width="17.33203125" style="10" customWidth="1"/>
    <col min="1033" max="1033" width="9.6640625" style="10" customWidth="1"/>
    <col min="1034" max="1034" width="12.6640625" style="10" customWidth="1"/>
    <col min="1035" max="1035" width="13.44140625" style="10" bestFit="1" customWidth="1"/>
    <col min="1036" max="1036" width="16.5546875" style="10" bestFit="1" customWidth="1"/>
    <col min="1037" max="1280" width="9.109375" style="10"/>
    <col min="1281" max="1281" width="9.44140625" style="10" bestFit="1" customWidth="1"/>
    <col min="1282" max="1282" width="9.109375" style="10"/>
    <col min="1283" max="1283" width="12" style="10" bestFit="1" customWidth="1"/>
    <col min="1284" max="1287" width="9.109375" style="10"/>
    <col min="1288" max="1288" width="17.33203125" style="10" customWidth="1"/>
    <col min="1289" max="1289" width="9.6640625" style="10" customWidth="1"/>
    <col min="1290" max="1290" width="12.6640625" style="10" customWidth="1"/>
    <col min="1291" max="1291" width="13.44140625" style="10" bestFit="1" customWidth="1"/>
    <col min="1292" max="1292" width="16.5546875" style="10" bestFit="1" customWidth="1"/>
    <col min="1293" max="1536" width="9.109375" style="10"/>
    <col min="1537" max="1537" width="9.44140625" style="10" bestFit="1" customWidth="1"/>
    <col min="1538" max="1538" width="9.109375" style="10"/>
    <col min="1539" max="1539" width="12" style="10" bestFit="1" customWidth="1"/>
    <col min="1540" max="1543" width="9.109375" style="10"/>
    <col min="1544" max="1544" width="17.33203125" style="10" customWidth="1"/>
    <col min="1545" max="1545" width="9.6640625" style="10" customWidth="1"/>
    <col min="1546" max="1546" width="12.6640625" style="10" customWidth="1"/>
    <col min="1547" max="1547" width="13.44140625" style="10" bestFit="1" customWidth="1"/>
    <col min="1548" max="1548" width="16.5546875" style="10" bestFit="1" customWidth="1"/>
    <col min="1549" max="1792" width="9.109375" style="10"/>
    <col min="1793" max="1793" width="9.44140625" style="10" bestFit="1" customWidth="1"/>
    <col min="1794" max="1794" width="9.109375" style="10"/>
    <col min="1795" max="1795" width="12" style="10" bestFit="1" customWidth="1"/>
    <col min="1796" max="1799" width="9.109375" style="10"/>
    <col min="1800" max="1800" width="17.33203125" style="10" customWidth="1"/>
    <col min="1801" max="1801" width="9.6640625" style="10" customWidth="1"/>
    <col min="1802" max="1802" width="12.6640625" style="10" customWidth="1"/>
    <col min="1803" max="1803" width="13.44140625" style="10" bestFit="1" customWidth="1"/>
    <col min="1804" max="1804" width="16.5546875" style="10" bestFit="1" customWidth="1"/>
    <col min="1805" max="2048" width="9.109375" style="10"/>
    <col min="2049" max="2049" width="9.44140625" style="10" bestFit="1" customWidth="1"/>
    <col min="2050" max="2050" width="9.109375" style="10"/>
    <col min="2051" max="2051" width="12" style="10" bestFit="1" customWidth="1"/>
    <col min="2052" max="2055" width="9.109375" style="10"/>
    <col min="2056" max="2056" width="17.33203125" style="10" customWidth="1"/>
    <col min="2057" max="2057" width="9.6640625" style="10" customWidth="1"/>
    <col min="2058" max="2058" width="12.6640625" style="10" customWidth="1"/>
    <col min="2059" max="2059" width="13.44140625" style="10" bestFit="1" customWidth="1"/>
    <col min="2060" max="2060" width="16.5546875" style="10" bestFit="1" customWidth="1"/>
    <col min="2061" max="2304" width="9.109375" style="10"/>
    <col min="2305" max="2305" width="9.44140625" style="10" bestFit="1" customWidth="1"/>
    <col min="2306" max="2306" width="9.109375" style="10"/>
    <col min="2307" max="2307" width="12" style="10" bestFit="1" customWidth="1"/>
    <col min="2308" max="2311" width="9.109375" style="10"/>
    <col min="2312" max="2312" width="17.33203125" style="10" customWidth="1"/>
    <col min="2313" max="2313" width="9.6640625" style="10" customWidth="1"/>
    <col min="2314" max="2314" width="12.6640625" style="10" customWidth="1"/>
    <col min="2315" max="2315" width="13.44140625" style="10" bestFit="1" customWidth="1"/>
    <col min="2316" max="2316" width="16.5546875" style="10" bestFit="1" customWidth="1"/>
    <col min="2317" max="2560" width="9.109375" style="10"/>
    <col min="2561" max="2561" width="9.44140625" style="10" bestFit="1" customWidth="1"/>
    <col min="2562" max="2562" width="9.109375" style="10"/>
    <col min="2563" max="2563" width="12" style="10" bestFit="1" customWidth="1"/>
    <col min="2564" max="2567" width="9.109375" style="10"/>
    <col min="2568" max="2568" width="17.33203125" style="10" customWidth="1"/>
    <col min="2569" max="2569" width="9.6640625" style="10" customWidth="1"/>
    <col min="2570" max="2570" width="12.6640625" style="10" customWidth="1"/>
    <col min="2571" max="2571" width="13.44140625" style="10" bestFit="1" customWidth="1"/>
    <col min="2572" max="2572" width="16.5546875" style="10" bestFit="1" customWidth="1"/>
    <col min="2573" max="2816" width="9.109375" style="10"/>
    <col min="2817" max="2817" width="9.44140625" style="10" bestFit="1" customWidth="1"/>
    <col min="2818" max="2818" width="9.109375" style="10"/>
    <col min="2819" max="2819" width="12" style="10" bestFit="1" customWidth="1"/>
    <col min="2820" max="2823" width="9.109375" style="10"/>
    <col min="2824" max="2824" width="17.33203125" style="10" customWidth="1"/>
    <col min="2825" max="2825" width="9.6640625" style="10" customWidth="1"/>
    <col min="2826" max="2826" width="12.6640625" style="10" customWidth="1"/>
    <col min="2827" max="2827" width="13.44140625" style="10" bestFit="1" customWidth="1"/>
    <col min="2828" max="2828" width="16.5546875" style="10" bestFit="1" customWidth="1"/>
    <col min="2829" max="3072" width="9.109375" style="10"/>
    <col min="3073" max="3073" width="9.44140625" style="10" bestFit="1" customWidth="1"/>
    <col min="3074" max="3074" width="9.109375" style="10"/>
    <col min="3075" max="3075" width="12" style="10" bestFit="1" customWidth="1"/>
    <col min="3076" max="3079" width="9.109375" style="10"/>
    <col min="3080" max="3080" width="17.33203125" style="10" customWidth="1"/>
    <col min="3081" max="3081" width="9.6640625" style="10" customWidth="1"/>
    <col min="3082" max="3082" width="12.6640625" style="10" customWidth="1"/>
    <col min="3083" max="3083" width="13.44140625" style="10" bestFit="1" customWidth="1"/>
    <col min="3084" max="3084" width="16.5546875" style="10" bestFit="1" customWidth="1"/>
    <col min="3085" max="3328" width="9.109375" style="10"/>
    <col min="3329" max="3329" width="9.44140625" style="10" bestFit="1" customWidth="1"/>
    <col min="3330" max="3330" width="9.109375" style="10"/>
    <col min="3331" max="3331" width="12" style="10" bestFit="1" customWidth="1"/>
    <col min="3332" max="3335" width="9.109375" style="10"/>
    <col min="3336" max="3336" width="17.33203125" style="10" customWidth="1"/>
    <col min="3337" max="3337" width="9.6640625" style="10" customWidth="1"/>
    <col min="3338" max="3338" width="12.6640625" style="10" customWidth="1"/>
    <col min="3339" max="3339" width="13.44140625" style="10" bestFit="1" customWidth="1"/>
    <col min="3340" max="3340" width="16.5546875" style="10" bestFit="1" customWidth="1"/>
    <col min="3341" max="3584" width="9.109375" style="10"/>
    <col min="3585" max="3585" width="9.44140625" style="10" bestFit="1" customWidth="1"/>
    <col min="3586" max="3586" width="9.109375" style="10"/>
    <col min="3587" max="3587" width="12" style="10" bestFit="1" customWidth="1"/>
    <col min="3588" max="3591" width="9.109375" style="10"/>
    <col min="3592" max="3592" width="17.33203125" style="10" customWidth="1"/>
    <col min="3593" max="3593" width="9.6640625" style="10" customWidth="1"/>
    <col min="3594" max="3594" width="12.6640625" style="10" customWidth="1"/>
    <col min="3595" max="3595" width="13.44140625" style="10" bestFit="1" customWidth="1"/>
    <col min="3596" max="3596" width="16.5546875" style="10" bestFit="1" customWidth="1"/>
    <col min="3597" max="3840" width="9.109375" style="10"/>
    <col min="3841" max="3841" width="9.44140625" style="10" bestFit="1" customWidth="1"/>
    <col min="3842" max="3842" width="9.109375" style="10"/>
    <col min="3843" max="3843" width="12" style="10" bestFit="1" customWidth="1"/>
    <col min="3844" max="3847" width="9.109375" style="10"/>
    <col min="3848" max="3848" width="17.33203125" style="10" customWidth="1"/>
    <col min="3849" max="3849" width="9.6640625" style="10" customWidth="1"/>
    <col min="3850" max="3850" width="12.6640625" style="10" customWidth="1"/>
    <col min="3851" max="3851" width="13.44140625" style="10" bestFit="1" customWidth="1"/>
    <col min="3852" max="3852" width="16.5546875" style="10" bestFit="1" customWidth="1"/>
    <col min="3853" max="4096" width="9.109375" style="10"/>
    <col min="4097" max="4097" width="9.44140625" style="10" bestFit="1" customWidth="1"/>
    <col min="4098" max="4098" width="9.109375" style="10"/>
    <col min="4099" max="4099" width="12" style="10" bestFit="1" customWidth="1"/>
    <col min="4100" max="4103" width="9.109375" style="10"/>
    <col min="4104" max="4104" width="17.33203125" style="10" customWidth="1"/>
    <col min="4105" max="4105" width="9.6640625" style="10" customWidth="1"/>
    <col min="4106" max="4106" width="12.6640625" style="10" customWidth="1"/>
    <col min="4107" max="4107" width="13.44140625" style="10" bestFit="1" customWidth="1"/>
    <col min="4108" max="4108" width="16.5546875" style="10" bestFit="1" customWidth="1"/>
    <col min="4109" max="4352" width="9.109375" style="10"/>
    <col min="4353" max="4353" width="9.44140625" style="10" bestFit="1" customWidth="1"/>
    <col min="4354" max="4354" width="9.109375" style="10"/>
    <col min="4355" max="4355" width="12" style="10" bestFit="1" customWidth="1"/>
    <col min="4356" max="4359" width="9.109375" style="10"/>
    <col min="4360" max="4360" width="17.33203125" style="10" customWidth="1"/>
    <col min="4361" max="4361" width="9.6640625" style="10" customWidth="1"/>
    <col min="4362" max="4362" width="12.6640625" style="10" customWidth="1"/>
    <col min="4363" max="4363" width="13.44140625" style="10" bestFit="1" customWidth="1"/>
    <col min="4364" max="4364" width="16.5546875" style="10" bestFit="1" customWidth="1"/>
    <col min="4365" max="4608" width="9.109375" style="10"/>
    <col min="4609" max="4609" width="9.44140625" style="10" bestFit="1" customWidth="1"/>
    <col min="4610" max="4610" width="9.109375" style="10"/>
    <col min="4611" max="4611" width="12" style="10" bestFit="1" customWidth="1"/>
    <col min="4612" max="4615" width="9.109375" style="10"/>
    <col min="4616" max="4616" width="17.33203125" style="10" customWidth="1"/>
    <col min="4617" max="4617" width="9.6640625" style="10" customWidth="1"/>
    <col min="4618" max="4618" width="12.6640625" style="10" customWidth="1"/>
    <col min="4619" max="4619" width="13.44140625" style="10" bestFit="1" customWidth="1"/>
    <col min="4620" max="4620" width="16.5546875" style="10" bestFit="1" customWidth="1"/>
    <col min="4621" max="4864" width="9.109375" style="10"/>
    <col min="4865" max="4865" width="9.44140625" style="10" bestFit="1" customWidth="1"/>
    <col min="4866" max="4866" width="9.109375" style="10"/>
    <col min="4867" max="4867" width="12" style="10" bestFit="1" customWidth="1"/>
    <col min="4868" max="4871" width="9.109375" style="10"/>
    <col min="4872" max="4872" width="17.33203125" style="10" customWidth="1"/>
    <col min="4873" max="4873" width="9.6640625" style="10" customWidth="1"/>
    <col min="4874" max="4874" width="12.6640625" style="10" customWidth="1"/>
    <col min="4875" max="4875" width="13.44140625" style="10" bestFit="1" customWidth="1"/>
    <col min="4876" max="4876" width="16.5546875" style="10" bestFit="1" customWidth="1"/>
    <col min="4877" max="5120" width="9.109375" style="10"/>
    <col min="5121" max="5121" width="9.44140625" style="10" bestFit="1" customWidth="1"/>
    <col min="5122" max="5122" width="9.109375" style="10"/>
    <col min="5123" max="5123" width="12" style="10" bestFit="1" customWidth="1"/>
    <col min="5124" max="5127" width="9.109375" style="10"/>
    <col min="5128" max="5128" width="17.33203125" style="10" customWidth="1"/>
    <col min="5129" max="5129" width="9.6640625" style="10" customWidth="1"/>
    <col min="5130" max="5130" width="12.6640625" style="10" customWidth="1"/>
    <col min="5131" max="5131" width="13.44140625" style="10" bestFit="1" customWidth="1"/>
    <col min="5132" max="5132" width="16.5546875" style="10" bestFit="1" customWidth="1"/>
    <col min="5133" max="5376" width="9.109375" style="10"/>
    <col min="5377" max="5377" width="9.44140625" style="10" bestFit="1" customWidth="1"/>
    <col min="5378" max="5378" width="9.109375" style="10"/>
    <col min="5379" max="5379" width="12" style="10" bestFit="1" customWidth="1"/>
    <col min="5380" max="5383" width="9.109375" style="10"/>
    <col min="5384" max="5384" width="17.33203125" style="10" customWidth="1"/>
    <col min="5385" max="5385" width="9.6640625" style="10" customWidth="1"/>
    <col min="5386" max="5386" width="12.6640625" style="10" customWidth="1"/>
    <col min="5387" max="5387" width="13.44140625" style="10" bestFit="1" customWidth="1"/>
    <col min="5388" max="5388" width="16.5546875" style="10" bestFit="1" customWidth="1"/>
    <col min="5389" max="5632" width="9.109375" style="10"/>
    <col min="5633" max="5633" width="9.44140625" style="10" bestFit="1" customWidth="1"/>
    <col min="5634" max="5634" width="9.109375" style="10"/>
    <col min="5635" max="5635" width="12" style="10" bestFit="1" customWidth="1"/>
    <col min="5636" max="5639" width="9.109375" style="10"/>
    <col min="5640" max="5640" width="17.33203125" style="10" customWidth="1"/>
    <col min="5641" max="5641" width="9.6640625" style="10" customWidth="1"/>
    <col min="5642" max="5642" width="12.6640625" style="10" customWidth="1"/>
    <col min="5643" max="5643" width="13.44140625" style="10" bestFit="1" customWidth="1"/>
    <col min="5644" max="5644" width="16.5546875" style="10" bestFit="1" customWidth="1"/>
    <col min="5645" max="5888" width="9.109375" style="10"/>
    <col min="5889" max="5889" width="9.44140625" style="10" bestFit="1" customWidth="1"/>
    <col min="5890" max="5890" width="9.109375" style="10"/>
    <col min="5891" max="5891" width="12" style="10" bestFit="1" customWidth="1"/>
    <col min="5892" max="5895" width="9.109375" style="10"/>
    <col min="5896" max="5896" width="17.33203125" style="10" customWidth="1"/>
    <col min="5897" max="5897" width="9.6640625" style="10" customWidth="1"/>
    <col min="5898" max="5898" width="12.6640625" style="10" customWidth="1"/>
    <col min="5899" max="5899" width="13.44140625" style="10" bestFit="1" customWidth="1"/>
    <col min="5900" max="5900" width="16.5546875" style="10" bestFit="1" customWidth="1"/>
    <col min="5901" max="6144" width="9.109375" style="10"/>
    <col min="6145" max="6145" width="9.44140625" style="10" bestFit="1" customWidth="1"/>
    <col min="6146" max="6146" width="9.109375" style="10"/>
    <col min="6147" max="6147" width="12" style="10" bestFit="1" customWidth="1"/>
    <col min="6148" max="6151" width="9.109375" style="10"/>
    <col min="6152" max="6152" width="17.33203125" style="10" customWidth="1"/>
    <col min="6153" max="6153" width="9.6640625" style="10" customWidth="1"/>
    <col min="6154" max="6154" width="12.6640625" style="10" customWidth="1"/>
    <col min="6155" max="6155" width="13.44140625" style="10" bestFit="1" customWidth="1"/>
    <col min="6156" max="6156" width="16.5546875" style="10" bestFit="1" customWidth="1"/>
    <col min="6157" max="6400" width="9.109375" style="10"/>
    <col min="6401" max="6401" width="9.44140625" style="10" bestFit="1" customWidth="1"/>
    <col min="6402" max="6402" width="9.109375" style="10"/>
    <col min="6403" max="6403" width="12" style="10" bestFit="1" customWidth="1"/>
    <col min="6404" max="6407" width="9.109375" style="10"/>
    <col min="6408" max="6408" width="17.33203125" style="10" customWidth="1"/>
    <col min="6409" max="6409" width="9.6640625" style="10" customWidth="1"/>
    <col min="6410" max="6410" width="12.6640625" style="10" customWidth="1"/>
    <col min="6411" max="6411" width="13.44140625" style="10" bestFit="1" customWidth="1"/>
    <col min="6412" max="6412" width="16.5546875" style="10" bestFit="1" customWidth="1"/>
    <col min="6413" max="6656" width="9.109375" style="10"/>
    <col min="6657" max="6657" width="9.44140625" style="10" bestFit="1" customWidth="1"/>
    <col min="6658" max="6658" width="9.109375" style="10"/>
    <col min="6659" max="6659" width="12" style="10" bestFit="1" customWidth="1"/>
    <col min="6660" max="6663" width="9.109375" style="10"/>
    <col min="6664" max="6664" width="17.33203125" style="10" customWidth="1"/>
    <col min="6665" max="6665" width="9.6640625" style="10" customWidth="1"/>
    <col min="6666" max="6666" width="12.6640625" style="10" customWidth="1"/>
    <col min="6667" max="6667" width="13.44140625" style="10" bestFit="1" customWidth="1"/>
    <col min="6668" max="6668" width="16.5546875" style="10" bestFit="1" customWidth="1"/>
    <col min="6669" max="6912" width="9.109375" style="10"/>
    <col min="6913" max="6913" width="9.44140625" style="10" bestFit="1" customWidth="1"/>
    <col min="6914" max="6914" width="9.109375" style="10"/>
    <col min="6915" max="6915" width="12" style="10" bestFit="1" customWidth="1"/>
    <col min="6916" max="6919" width="9.109375" style="10"/>
    <col min="6920" max="6920" width="17.33203125" style="10" customWidth="1"/>
    <col min="6921" max="6921" width="9.6640625" style="10" customWidth="1"/>
    <col min="6922" max="6922" width="12.6640625" style="10" customWidth="1"/>
    <col min="6923" max="6923" width="13.44140625" style="10" bestFit="1" customWidth="1"/>
    <col min="6924" max="6924" width="16.5546875" style="10" bestFit="1" customWidth="1"/>
    <col min="6925" max="7168" width="9.109375" style="10"/>
    <col min="7169" max="7169" width="9.44140625" style="10" bestFit="1" customWidth="1"/>
    <col min="7170" max="7170" width="9.109375" style="10"/>
    <col min="7171" max="7171" width="12" style="10" bestFit="1" customWidth="1"/>
    <col min="7172" max="7175" width="9.109375" style="10"/>
    <col min="7176" max="7176" width="17.33203125" style="10" customWidth="1"/>
    <col min="7177" max="7177" width="9.6640625" style="10" customWidth="1"/>
    <col min="7178" max="7178" width="12.6640625" style="10" customWidth="1"/>
    <col min="7179" max="7179" width="13.44140625" style="10" bestFit="1" customWidth="1"/>
    <col min="7180" max="7180" width="16.5546875" style="10" bestFit="1" customWidth="1"/>
    <col min="7181" max="7424" width="9.109375" style="10"/>
    <col min="7425" max="7425" width="9.44140625" style="10" bestFit="1" customWidth="1"/>
    <col min="7426" max="7426" width="9.109375" style="10"/>
    <col min="7427" max="7427" width="12" style="10" bestFit="1" customWidth="1"/>
    <col min="7428" max="7431" width="9.109375" style="10"/>
    <col min="7432" max="7432" width="17.33203125" style="10" customWidth="1"/>
    <col min="7433" max="7433" width="9.6640625" style="10" customWidth="1"/>
    <col min="7434" max="7434" width="12.6640625" style="10" customWidth="1"/>
    <col min="7435" max="7435" width="13.44140625" style="10" bestFit="1" customWidth="1"/>
    <col min="7436" max="7436" width="16.5546875" style="10" bestFit="1" customWidth="1"/>
    <col min="7437" max="7680" width="9.109375" style="10"/>
    <col min="7681" max="7681" width="9.44140625" style="10" bestFit="1" customWidth="1"/>
    <col min="7682" max="7682" width="9.109375" style="10"/>
    <col min="7683" max="7683" width="12" style="10" bestFit="1" customWidth="1"/>
    <col min="7684" max="7687" width="9.109375" style="10"/>
    <col min="7688" max="7688" width="17.33203125" style="10" customWidth="1"/>
    <col min="7689" max="7689" width="9.6640625" style="10" customWidth="1"/>
    <col min="7690" max="7690" width="12.6640625" style="10" customWidth="1"/>
    <col min="7691" max="7691" width="13.44140625" style="10" bestFit="1" customWidth="1"/>
    <col min="7692" max="7692" width="16.5546875" style="10" bestFit="1" customWidth="1"/>
    <col min="7693" max="7936" width="9.109375" style="10"/>
    <col min="7937" max="7937" width="9.44140625" style="10" bestFit="1" customWidth="1"/>
    <col min="7938" max="7938" width="9.109375" style="10"/>
    <col min="7939" max="7939" width="12" style="10" bestFit="1" customWidth="1"/>
    <col min="7940" max="7943" width="9.109375" style="10"/>
    <col min="7944" max="7944" width="17.33203125" style="10" customWidth="1"/>
    <col min="7945" max="7945" width="9.6640625" style="10" customWidth="1"/>
    <col min="7946" max="7946" width="12.6640625" style="10" customWidth="1"/>
    <col min="7947" max="7947" width="13.44140625" style="10" bestFit="1" customWidth="1"/>
    <col min="7948" max="7948" width="16.5546875" style="10" bestFit="1" customWidth="1"/>
    <col min="7949" max="8192" width="9.109375" style="10"/>
    <col min="8193" max="8193" width="9.44140625" style="10" bestFit="1" customWidth="1"/>
    <col min="8194" max="8194" width="9.109375" style="10"/>
    <col min="8195" max="8195" width="12" style="10" bestFit="1" customWidth="1"/>
    <col min="8196" max="8199" width="9.109375" style="10"/>
    <col min="8200" max="8200" width="17.33203125" style="10" customWidth="1"/>
    <col min="8201" max="8201" width="9.6640625" style="10" customWidth="1"/>
    <col min="8202" max="8202" width="12.6640625" style="10" customWidth="1"/>
    <col min="8203" max="8203" width="13.44140625" style="10" bestFit="1" customWidth="1"/>
    <col min="8204" max="8204" width="16.5546875" style="10" bestFit="1" customWidth="1"/>
    <col min="8205" max="8448" width="9.109375" style="10"/>
    <col min="8449" max="8449" width="9.44140625" style="10" bestFit="1" customWidth="1"/>
    <col min="8450" max="8450" width="9.109375" style="10"/>
    <col min="8451" max="8451" width="12" style="10" bestFit="1" customWidth="1"/>
    <col min="8452" max="8455" width="9.109375" style="10"/>
    <col min="8456" max="8456" width="17.33203125" style="10" customWidth="1"/>
    <col min="8457" max="8457" width="9.6640625" style="10" customWidth="1"/>
    <col min="8458" max="8458" width="12.6640625" style="10" customWidth="1"/>
    <col min="8459" max="8459" width="13.44140625" style="10" bestFit="1" customWidth="1"/>
    <col min="8460" max="8460" width="16.5546875" style="10" bestFit="1" customWidth="1"/>
    <col min="8461" max="8704" width="9.109375" style="10"/>
    <col min="8705" max="8705" width="9.44140625" style="10" bestFit="1" customWidth="1"/>
    <col min="8706" max="8706" width="9.109375" style="10"/>
    <col min="8707" max="8707" width="12" style="10" bestFit="1" customWidth="1"/>
    <col min="8708" max="8711" width="9.109375" style="10"/>
    <col min="8712" max="8712" width="17.33203125" style="10" customWidth="1"/>
    <col min="8713" max="8713" width="9.6640625" style="10" customWidth="1"/>
    <col min="8714" max="8714" width="12.6640625" style="10" customWidth="1"/>
    <col min="8715" max="8715" width="13.44140625" style="10" bestFit="1" customWidth="1"/>
    <col min="8716" max="8716" width="16.5546875" style="10" bestFit="1" customWidth="1"/>
    <col min="8717" max="8960" width="9.109375" style="10"/>
    <col min="8961" max="8961" width="9.44140625" style="10" bestFit="1" customWidth="1"/>
    <col min="8962" max="8962" width="9.109375" style="10"/>
    <col min="8963" max="8963" width="12" style="10" bestFit="1" customWidth="1"/>
    <col min="8964" max="8967" width="9.109375" style="10"/>
    <col min="8968" max="8968" width="17.33203125" style="10" customWidth="1"/>
    <col min="8969" max="8969" width="9.6640625" style="10" customWidth="1"/>
    <col min="8970" max="8970" width="12.6640625" style="10" customWidth="1"/>
    <col min="8971" max="8971" width="13.44140625" style="10" bestFit="1" customWidth="1"/>
    <col min="8972" max="8972" width="16.5546875" style="10" bestFit="1" customWidth="1"/>
    <col min="8973" max="9216" width="9.109375" style="10"/>
    <col min="9217" max="9217" width="9.44140625" style="10" bestFit="1" customWidth="1"/>
    <col min="9218" max="9218" width="9.109375" style="10"/>
    <col min="9219" max="9219" width="12" style="10" bestFit="1" customWidth="1"/>
    <col min="9220" max="9223" width="9.109375" style="10"/>
    <col min="9224" max="9224" width="17.33203125" style="10" customWidth="1"/>
    <col min="9225" max="9225" width="9.6640625" style="10" customWidth="1"/>
    <col min="9226" max="9226" width="12.6640625" style="10" customWidth="1"/>
    <col min="9227" max="9227" width="13.44140625" style="10" bestFit="1" customWidth="1"/>
    <col min="9228" max="9228" width="16.5546875" style="10" bestFit="1" customWidth="1"/>
    <col min="9229" max="9472" width="9.109375" style="10"/>
    <col min="9473" max="9473" width="9.44140625" style="10" bestFit="1" customWidth="1"/>
    <col min="9474" max="9474" width="9.109375" style="10"/>
    <col min="9475" max="9475" width="12" style="10" bestFit="1" customWidth="1"/>
    <col min="9476" max="9479" width="9.109375" style="10"/>
    <col min="9480" max="9480" width="17.33203125" style="10" customWidth="1"/>
    <col min="9481" max="9481" width="9.6640625" style="10" customWidth="1"/>
    <col min="9482" max="9482" width="12.6640625" style="10" customWidth="1"/>
    <col min="9483" max="9483" width="13.44140625" style="10" bestFit="1" customWidth="1"/>
    <col min="9484" max="9484" width="16.5546875" style="10" bestFit="1" customWidth="1"/>
    <col min="9485" max="9728" width="9.109375" style="10"/>
    <col min="9729" max="9729" width="9.44140625" style="10" bestFit="1" customWidth="1"/>
    <col min="9730" max="9730" width="9.109375" style="10"/>
    <col min="9731" max="9731" width="12" style="10" bestFit="1" customWidth="1"/>
    <col min="9732" max="9735" width="9.109375" style="10"/>
    <col min="9736" max="9736" width="17.33203125" style="10" customWidth="1"/>
    <col min="9737" max="9737" width="9.6640625" style="10" customWidth="1"/>
    <col min="9738" max="9738" width="12.6640625" style="10" customWidth="1"/>
    <col min="9739" max="9739" width="13.44140625" style="10" bestFit="1" customWidth="1"/>
    <col min="9740" max="9740" width="16.5546875" style="10" bestFit="1" customWidth="1"/>
    <col min="9741" max="9984" width="9.109375" style="10"/>
    <col min="9985" max="9985" width="9.44140625" style="10" bestFit="1" customWidth="1"/>
    <col min="9986" max="9986" width="9.109375" style="10"/>
    <col min="9987" max="9987" width="12" style="10" bestFit="1" customWidth="1"/>
    <col min="9988" max="9991" width="9.109375" style="10"/>
    <col min="9992" max="9992" width="17.33203125" style="10" customWidth="1"/>
    <col min="9993" max="9993" width="9.6640625" style="10" customWidth="1"/>
    <col min="9994" max="9994" width="12.6640625" style="10" customWidth="1"/>
    <col min="9995" max="9995" width="13.44140625" style="10" bestFit="1" customWidth="1"/>
    <col min="9996" max="9996" width="16.5546875" style="10" bestFit="1" customWidth="1"/>
    <col min="9997" max="10240" width="9.109375" style="10"/>
    <col min="10241" max="10241" width="9.44140625" style="10" bestFit="1" customWidth="1"/>
    <col min="10242" max="10242" width="9.109375" style="10"/>
    <col min="10243" max="10243" width="12" style="10" bestFit="1" customWidth="1"/>
    <col min="10244" max="10247" width="9.109375" style="10"/>
    <col min="10248" max="10248" width="17.33203125" style="10" customWidth="1"/>
    <col min="10249" max="10249" width="9.6640625" style="10" customWidth="1"/>
    <col min="10250" max="10250" width="12.6640625" style="10" customWidth="1"/>
    <col min="10251" max="10251" width="13.44140625" style="10" bestFit="1" customWidth="1"/>
    <col min="10252" max="10252" width="16.5546875" style="10" bestFit="1" customWidth="1"/>
    <col min="10253" max="10496" width="9.109375" style="10"/>
    <col min="10497" max="10497" width="9.44140625" style="10" bestFit="1" customWidth="1"/>
    <col min="10498" max="10498" width="9.109375" style="10"/>
    <col min="10499" max="10499" width="12" style="10" bestFit="1" customWidth="1"/>
    <col min="10500" max="10503" width="9.109375" style="10"/>
    <col min="10504" max="10504" width="17.33203125" style="10" customWidth="1"/>
    <col min="10505" max="10505" width="9.6640625" style="10" customWidth="1"/>
    <col min="10506" max="10506" width="12.6640625" style="10" customWidth="1"/>
    <col min="10507" max="10507" width="13.44140625" style="10" bestFit="1" customWidth="1"/>
    <col min="10508" max="10508" width="16.5546875" style="10" bestFit="1" customWidth="1"/>
    <col min="10509" max="10752" width="9.109375" style="10"/>
    <col min="10753" max="10753" width="9.44140625" style="10" bestFit="1" customWidth="1"/>
    <col min="10754" max="10754" width="9.109375" style="10"/>
    <col min="10755" max="10755" width="12" style="10" bestFit="1" customWidth="1"/>
    <col min="10756" max="10759" width="9.109375" style="10"/>
    <col min="10760" max="10760" width="17.33203125" style="10" customWidth="1"/>
    <col min="10761" max="10761" width="9.6640625" style="10" customWidth="1"/>
    <col min="10762" max="10762" width="12.6640625" style="10" customWidth="1"/>
    <col min="10763" max="10763" width="13.44140625" style="10" bestFit="1" customWidth="1"/>
    <col min="10764" max="10764" width="16.5546875" style="10" bestFit="1" customWidth="1"/>
    <col min="10765" max="11008" width="9.109375" style="10"/>
    <col min="11009" max="11009" width="9.44140625" style="10" bestFit="1" customWidth="1"/>
    <col min="11010" max="11010" width="9.109375" style="10"/>
    <col min="11011" max="11011" width="12" style="10" bestFit="1" customWidth="1"/>
    <col min="11012" max="11015" width="9.109375" style="10"/>
    <col min="11016" max="11016" width="17.33203125" style="10" customWidth="1"/>
    <col min="11017" max="11017" width="9.6640625" style="10" customWidth="1"/>
    <col min="11018" max="11018" width="12.6640625" style="10" customWidth="1"/>
    <col min="11019" max="11019" width="13.44140625" style="10" bestFit="1" customWidth="1"/>
    <col min="11020" max="11020" width="16.5546875" style="10" bestFit="1" customWidth="1"/>
    <col min="11021" max="11264" width="9.109375" style="10"/>
    <col min="11265" max="11265" width="9.44140625" style="10" bestFit="1" customWidth="1"/>
    <col min="11266" max="11266" width="9.109375" style="10"/>
    <col min="11267" max="11267" width="12" style="10" bestFit="1" customWidth="1"/>
    <col min="11268" max="11271" width="9.109375" style="10"/>
    <col min="11272" max="11272" width="17.33203125" style="10" customWidth="1"/>
    <col min="11273" max="11273" width="9.6640625" style="10" customWidth="1"/>
    <col min="11274" max="11274" width="12.6640625" style="10" customWidth="1"/>
    <col min="11275" max="11275" width="13.44140625" style="10" bestFit="1" customWidth="1"/>
    <col min="11276" max="11276" width="16.5546875" style="10" bestFit="1" customWidth="1"/>
    <col min="11277" max="11520" width="9.109375" style="10"/>
    <col min="11521" max="11521" width="9.44140625" style="10" bestFit="1" customWidth="1"/>
    <col min="11522" max="11522" width="9.109375" style="10"/>
    <col min="11523" max="11523" width="12" style="10" bestFit="1" customWidth="1"/>
    <col min="11524" max="11527" width="9.109375" style="10"/>
    <col min="11528" max="11528" width="17.33203125" style="10" customWidth="1"/>
    <col min="11529" max="11529" width="9.6640625" style="10" customWidth="1"/>
    <col min="11530" max="11530" width="12.6640625" style="10" customWidth="1"/>
    <col min="11531" max="11531" width="13.44140625" style="10" bestFit="1" customWidth="1"/>
    <col min="11532" max="11532" width="16.5546875" style="10" bestFit="1" customWidth="1"/>
    <col min="11533" max="11776" width="9.109375" style="10"/>
    <col min="11777" max="11777" width="9.44140625" style="10" bestFit="1" customWidth="1"/>
    <col min="11778" max="11778" width="9.109375" style="10"/>
    <col min="11779" max="11779" width="12" style="10" bestFit="1" customWidth="1"/>
    <col min="11780" max="11783" width="9.109375" style="10"/>
    <col min="11784" max="11784" width="17.33203125" style="10" customWidth="1"/>
    <col min="11785" max="11785" width="9.6640625" style="10" customWidth="1"/>
    <col min="11786" max="11786" width="12.6640625" style="10" customWidth="1"/>
    <col min="11787" max="11787" width="13.44140625" style="10" bestFit="1" customWidth="1"/>
    <col min="11788" max="11788" width="16.5546875" style="10" bestFit="1" customWidth="1"/>
    <col min="11789" max="12032" width="9.109375" style="10"/>
    <col min="12033" max="12033" width="9.44140625" style="10" bestFit="1" customWidth="1"/>
    <col min="12034" max="12034" width="9.109375" style="10"/>
    <col min="12035" max="12035" width="12" style="10" bestFit="1" customWidth="1"/>
    <col min="12036" max="12039" width="9.109375" style="10"/>
    <col min="12040" max="12040" width="17.33203125" style="10" customWidth="1"/>
    <col min="12041" max="12041" width="9.6640625" style="10" customWidth="1"/>
    <col min="12042" max="12042" width="12.6640625" style="10" customWidth="1"/>
    <col min="12043" max="12043" width="13.44140625" style="10" bestFit="1" customWidth="1"/>
    <col min="12044" max="12044" width="16.5546875" style="10" bestFit="1" customWidth="1"/>
    <col min="12045" max="12288" width="9.109375" style="10"/>
    <col min="12289" max="12289" width="9.44140625" style="10" bestFit="1" customWidth="1"/>
    <col min="12290" max="12290" width="9.109375" style="10"/>
    <col min="12291" max="12291" width="12" style="10" bestFit="1" customWidth="1"/>
    <col min="12292" max="12295" width="9.109375" style="10"/>
    <col min="12296" max="12296" width="17.33203125" style="10" customWidth="1"/>
    <col min="12297" max="12297" width="9.6640625" style="10" customWidth="1"/>
    <col min="12298" max="12298" width="12.6640625" style="10" customWidth="1"/>
    <col min="12299" max="12299" width="13.44140625" style="10" bestFit="1" customWidth="1"/>
    <col min="12300" max="12300" width="16.5546875" style="10" bestFit="1" customWidth="1"/>
    <col min="12301" max="12544" width="9.109375" style="10"/>
    <col min="12545" max="12545" width="9.44140625" style="10" bestFit="1" customWidth="1"/>
    <col min="12546" max="12546" width="9.109375" style="10"/>
    <col min="12547" max="12547" width="12" style="10" bestFit="1" customWidth="1"/>
    <col min="12548" max="12551" width="9.109375" style="10"/>
    <col min="12552" max="12552" width="17.33203125" style="10" customWidth="1"/>
    <col min="12553" max="12553" width="9.6640625" style="10" customWidth="1"/>
    <col min="12554" max="12554" width="12.6640625" style="10" customWidth="1"/>
    <col min="12555" max="12555" width="13.44140625" style="10" bestFit="1" customWidth="1"/>
    <col min="12556" max="12556" width="16.5546875" style="10" bestFit="1" customWidth="1"/>
    <col min="12557" max="12800" width="9.109375" style="10"/>
    <col min="12801" max="12801" width="9.44140625" style="10" bestFit="1" customWidth="1"/>
    <col min="12802" max="12802" width="9.109375" style="10"/>
    <col min="12803" max="12803" width="12" style="10" bestFit="1" customWidth="1"/>
    <col min="12804" max="12807" width="9.109375" style="10"/>
    <col min="12808" max="12808" width="17.33203125" style="10" customWidth="1"/>
    <col min="12809" max="12809" width="9.6640625" style="10" customWidth="1"/>
    <col min="12810" max="12810" width="12.6640625" style="10" customWidth="1"/>
    <col min="12811" max="12811" width="13.44140625" style="10" bestFit="1" customWidth="1"/>
    <col min="12812" max="12812" width="16.5546875" style="10" bestFit="1" customWidth="1"/>
    <col min="12813" max="13056" width="9.109375" style="10"/>
    <col min="13057" max="13057" width="9.44140625" style="10" bestFit="1" customWidth="1"/>
    <col min="13058" max="13058" width="9.109375" style="10"/>
    <col min="13059" max="13059" width="12" style="10" bestFit="1" customWidth="1"/>
    <col min="13060" max="13063" width="9.109375" style="10"/>
    <col min="13064" max="13064" width="17.33203125" style="10" customWidth="1"/>
    <col min="13065" max="13065" width="9.6640625" style="10" customWidth="1"/>
    <col min="13066" max="13066" width="12.6640625" style="10" customWidth="1"/>
    <col min="13067" max="13067" width="13.44140625" style="10" bestFit="1" customWidth="1"/>
    <col min="13068" max="13068" width="16.5546875" style="10" bestFit="1" customWidth="1"/>
    <col min="13069" max="13312" width="9.109375" style="10"/>
    <col min="13313" max="13313" width="9.44140625" style="10" bestFit="1" customWidth="1"/>
    <col min="13314" max="13314" width="9.109375" style="10"/>
    <col min="13315" max="13315" width="12" style="10" bestFit="1" customWidth="1"/>
    <col min="13316" max="13319" width="9.109375" style="10"/>
    <col min="13320" max="13320" width="17.33203125" style="10" customWidth="1"/>
    <col min="13321" max="13321" width="9.6640625" style="10" customWidth="1"/>
    <col min="13322" max="13322" width="12.6640625" style="10" customWidth="1"/>
    <col min="13323" max="13323" width="13.44140625" style="10" bestFit="1" customWidth="1"/>
    <col min="13324" max="13324" width="16.5546875" style="10" bestFit="1" customWidth="1"/>
    <col min="13325" max="13568" width="9.109375" style="10"/>
    <col min="13569" max="13569" width="9.44140625" style="10" bestFit="1" customWidth="1"/>
    <col min="13570" max="13570" width="9.109375" style="10"/>
    <col min="13571" max="13571" width="12" style="10" bestFit="1" customWidth="1"/>
    <col min="13572" max="13575" width="9.109375" style="10"/>
    <col min="13576" max="13576" width="17.33203125" style="10" customWidth="1"/>
    <col min="13577" max="13577" width="9.6640625" style="10" customWidth="1"/>
    <col min="13578" max="13578" width="12.6640625" style="10" customWidth="1"/>
    <col min="13579" max="13579" width="13.44140625" style="10" bestFit="1" customWidth="1"/>
    <col min="13580" max="13580" width="16.5546875" style="10" bestFit="1" customWidth="1"/>
    <col min="13581" max="13824" width="9.109375" style="10"/>
    <col min="13825" max="13825" width="9.44140625" style="10" bestFit="1" customWidth="1"/>
    <col min="13826" max="13826" width="9.109375" style="10"/>
    <col min="13827" max="13827" width="12" style="10" bestFit="1" customWidth="1"/>
    <col min="13828" max="13831" width="9.109375" style="10"/>
    <col min="13832" max="13832" width="17.33203125" style="10" customWidth="1"/>
    <col min="13833" max="13833" width="9.6640625" style="10" customWidth="1"/>
    <col min="13834" max="13834" width="12.6640625" style="10" customWidth="1"/>
    <col min="13835" max="13835" width="13.44140625" style="10" bestFit="1" customWidth="1"/>
    <col min="13836" max="13836" width="16.5546875" style="10" bestFit="1" customWidth="1"/>
    <col min="13837" max="14080" width="9.109375" style="10"/>
    <col min="14081" max="14081" width="9.44140625" style="10" bestFit="1" customWidth="1"/>
    <col min="14082" max="14082" width="9.109375" style="10"/>
    <col min="14083" max="14083" width="12" style="10" bestFit="1" customWidth="1"/>
    <col min="14084" max="14087" width="9.109375" style="10"/>
    <col min="14088" max="14088" width="17.33203125" style="10" customWidth="1"/>
    <col min="14089" max="14089" width="9.6640625" style="10" customWidth="1"/>
    <col min="14090" max="14090" width="12.6640625" style="10" customWidth="1"/>
    <col min="14091" max="14091" width="13.44140625" style="10" bestFit="1" customWidth="1"/>
    <col min="14092" max="14092" width="16.5546875" style="10" bestFit="1" customWidth="1"/>
    <col min="14093" max="14336" width="9.109375" style="10"/>
    <col min="14337" max="14337" width="9.44140625" style="10" bestFit="1" customWidth="1"/>
    <col min="14338" max="14338" width="9.109375" style="10"/>
    <col min="14339" max="14339" width="12" style="10" bestFit="1" customWidth="1"/>
    <col min="14340" max="14343" width="9.109375" style="10"/>
    <col min="14344" max="14344" width="17.33203125" style="10" customWidth="1"/>
    <col min="14345" max="14345" width="9.6640625" style="10" customWidth="1"/>
    <col min="14346" max="14346" width="12.6640625" style="10" customWidth="1"/>
    <col min="14347" max="14347" width="13.44140625" style="10" bestFit="1" customWidth="1"/>
    <col min="14348" max="14348" width="16.5546875" style="10" bestFit="1" customWidth="1"/>
    <col min="14349" max="14592" width="9.109375" style="10"/>
    <col min="14593" max="14593" width="9.44140625" style="10" bestFit="1" customWidth="1"/>
    <col min="14594" max="14594" width="9.109375" style="10"/>
    <col min="14595" max="14595" width="12" style="10" bestFit="1" customWidth="1"/>
    <col min="14596" max="14599" width="9.109375" style="10"/>
    <col min="14600" max="14600" width="17.33203125" style="10" customWidth="1"/>
    <col min="14601" max="14601" width="9.6640625" style="10" customWidth="1"/>
    <col min="14602" max="14602" width="12.6640625" style="10" customWidth="1"/>
    <col min="14603" max="14603" width="13.44140625" style="10" bestFit="1" customWidth="1"/>
    <col min="14604" max="14604" width="16.5546875" style="10" bestFit="1" customWidth="1"/>
    <col min="14605" max="14848" width="9.109375" style="10"/>
    <col min="14849" max="14849" width="9.44140625" style="10" bestFit="1" customWidth="1"/>
    <col min="14850" max="14850" width="9.109375" style="10"/>
    <col min="14851" max="14851" width="12" style="10" bestFit="1" customWidth="1"/>
    <col min="14852" max="14855" width="9.109375" style="10"/>
    <col min="14856" max="14856" width="17.33203125" style="10" customWidth="1"/>
    <col min="14857" max="14857" width="9.6640625" style="10" customWidth="1"/>
    <col min="14858" max="14858" width="12.6640625" style="10" customWidth="1"/>
    <col min="14859" max="14859" width="13.44140625" style="10" bestFit="1" customWidth="1"/>
    <col min="14860" max="14860" width="16.5546875" style="10" bestFit="1" customWidth="1"/>
    <col min="14861" max="15104" width="9.109375" style="10"/>
    <col min="15105" max="15105" width="9.44140625" style="10" bestFit="1" customWidth="1"/>
    <col min="15106" max="15106" width="9.109375" style="10"/>
    <col min="15107" max="15107" width="12" style="10" bestFit="1" customWidth="1"/>
    <col min="15108" max="15111" width="9.109375" style="10"/>
    <col min="15112" max="15112" width="17.33203125" style="10" customWidth="1"/>
    <col min="15113" max="15113" width="9.6640625" style="10" customWidth="1"/>
    <col min="15114" max="15114" width="12.6640625" style="10" customWidth="1"/>
    <col min="15115" max="15115" width="13.44140625" style="10" bestFit="1" customWidth="1"/>
    <col min="15116" max="15116" width="16.5546875" style="10" bestFit="1" customWidth="1"/>
    <col min="15117" max="15360" width="9.109375" style="10"/>
    <col min="15361" max="15361" width="9.44140625" style="10" bestFit="1" customWidth="1"/>
    <col min="15362" max="15362" width="9.109375" style="10"/>
    <col min="15363" max="15363" width="12" style="10" bestFit="1" customWidth="1"/>
    <col min="15364" max="15367" width="9.109375" style="10"/>
    <col min="15368" max="15368" width="17.33203125" style="10" customWidth="1"/>
    <col min="15369" max="15369" width="9.6640625" style="10" customWidth="1"/>
    <col min="15370" max="15370" width="12.6640625" style="10" customWidth="1"/>
    <col min="15371" max="15371" width="13.44140625" style="10" bestFit="1" customWidth="1"/>
    <col min="15372" max="15372" width="16.5546875" style="10" bestFit="1" customWidth="1"/>
    <col min="15373" max="15616" width="9.109375" style="10"/>
    <col min="15617" max="15617" width="9.44140625" style="10" bestFit="1" customWidth="1"/>
    <col min="15618" max="15618" width="9.109375" style="10"/>
    <col min="15619" max="15619" width="12" style="10" bestFit="1" customWidth="1"/>
    <col min="15620" max="15623" width="9.109375" style="10"/>
    <col min="15624" max="15624" width="17.33203125" style="10" customWidth="1"/>
    <col min="15625" max="15625" width="9.6640625" style="10" customWidth="1"/>
    <col min="15626" max="15626" width="12.6640625" style="10" customWidth="1"/>
    <col min="15627" max="15627" width="13.44140625" style="10" bestFit="1" customWidth="1"/>
    <col min="15628" max="15628" width="16.5546875" style="10" bestFit="1" customWidth="1"/>
    <col min="15629" max="15872" width="9.109375" style="10"/>
    <col min="15873" max="15873" width="9.44140625" style="10" bestFit="1" customWidth="1"/>
    <col min="15874" max="15874" width="9.109375" style="10"/>
    <col min="15875" max="15875" width="12" style="10" bestFit="1" customWidth="1"/>
    <col min="15876" max="15879" width="9.109375" style="10"/>
    <col min="15880" max="15880" width="17.33203125" style="10" customWidth="1"/>
    <col min="15881" max="15881" width="9.6640625" style="10" customWidth="1"/>
    <col min="15882" max="15882" width="12.6640625" style="10" customWidth="1"/>
    <col min="15883" max="15883" width="13.44140625" style="10" bestFit="1" customWidth="1"/>
    <col min="15884" max="15884" width="16.5546875" style="10" bestFit="1" customWidth="1"/>
    <col min="15885" max="16128" width="9.109375" style="10"/>
    <col min="16129" max="16129" width="9.44140625" style="10" bestFit="1" customWidth="1"/>
    <col min="16130" max="16130" width="9.109375" style="10"/>
    <col min="16131" max="16131" width="12" style="10" bestFit="1" customWidth="1"/>
    <col min="16132" max="16135" width="9.109375" style="10"/>
    <col min="16136" max="16136" width="17.33203125" style="10" customWidth="1"/>
    <col min="16137" max="16137" width="9.6640625" style="10" customWidth="1"/>
    <col min="16138" max="16138" width="12.6640625" style="10" customWidth="1"/>
    <col min="16139" max="16139" width="13.44140625" style="10" bestFit="1" customWidth="1"/>
    <col min="16140" max="16140" width="16.5546875" style="10" bestFit="1" customWidth="1"/>
    <col min="16141" max="16384" width="9.109375" style="10"/>
  </cols>
  <sheetData>
    <row r="1" spans="1:12" ht="15.6">
      <c r="L1" s="587" t="s">
        <v>244</v>
      </c>
    </row>
    <row r="2" spans="1:12" ht="8.25" customHeight="1">
      <c r="L2" s="588"/>
    </row>
    <row r="3" spans="1:12" ht="15.75" customHeight="1">
      <c r="A3" s="1449" t="s">
        <v>248</v>
      </c>
      <c r="B3" s="1355"/>
      <c r="C3" s="96" t="str">
        <f>'Pg 3 Travel'!A3</f>
        <v>X.002-180-2024/1RF</v>
      </c>
      <c r="D3" s="98"/>
      <c r="E3" s="589"/>
      <c r="F3" s="1392">
        <f>'F1  Cover'!L8</f>
        <v>46053</v>
      </c>
      <c r="G3" s="1392"/>
      <c r="H3" s="1408" t="s">
        <v>207</v>
      </c>
      <c r="I3" s="1408"/>
      <c r="J3" s="1408"/>
      <c r="K3" s="1409">
        <f>'F1  Cover'!K8</f>
        <v>1</v>
      </c>
      <c r="L3" s="1357"/>
    </row>
    <row r="4" spans="1:12" ht="15.75" customHeight="1" thickBot="1"/>
    <row r="5" spans="1:12" ht="15.75" customHeight="1">
      <c r="A5" s="193"/>
      <c r="B5" s="194"/>
      <c r="C5" s="194"/>
      <c r="D5" s="194"/>
      <c r="E5" s="194"/>
      <c r="F5" s="194"/>
      <c r="G5" s="194"/>
      <c r="H5" s="194"/>
      <c r="I5" s="194"/>
      <c r="J5" s="194"/>
      <c r="K5" s="194"/>
      <c r="L5" s="277"/>
    </row>
    <row r="6" spans="1:12" ht="15.75" customHeight="1">
      <c r="A6" s="1349" t="s">
        <v>245</v>
      </c>
      <c r="B6" s="1350"/>
      <c r="C6" s="1350"/>
      <c r="D6" s="1350"/>
      <c r="E6" s="1350"/>
      <c r="F6" s="1350"/>
      <c r="G6" s="1350"/>
      <c r="H6" s="1350"/>
      <c r="I6" s="1350"/>
      <c r="J6" s="1350"/>
      <c r="K6" s="1350"/>
      <c r="L6" s="1351"/>
    </row>
    <row r="7" spans="1:12" ht="15.75" customHeight="1" thickBot="1">
      <c r="A7" s="278"/>
      <c r="L7" s="279"/>
    </row>
    <row r="8" spans="1:12" ht="29.25" customHeight="1" thickBot="1">
      <c r="A8" s="1432" t="s">
        <v>0</v>
      </c>
      <c r="B8" s="1433"/>
      <c r="C8" s="1433"/>
      <c r="D8" s="1433"/>
      <c r="E8" s="1433"/>
      <c r="F8" s="1433"/>
      <c r="G8" s="1433"/>
      <c r="H8" s="436" t="s">
        <v>433</v>
      </c>
      <c r="I8" s="280" t="s">
        <v>1</v>
      </c>
      <c r="J8" s="280" t="s">
        <v>2</v>
      </c>
      <c r="K8" s="280" t="s">
        <v>3</v>
      </c>
      <c r="L8" s="281" t="s">
        <v>231</v>
      </c>
    </row>
    <row r="9" spans="1:12" ht="12.75" customHeight="1">
      <c r="A9" s="1450" t="str">
        <f>'RRM Pricing Schedule'!A13&amp;" " &amp;'RRM Pricing Schedule'!B13</f>
        <v>3200 DETAILED ASSESSMENT PHASE</v>
      </c>
      <c r="B9" s="1451"/>
      <c r="C9" s="1451"/>
      <c r="D9" s="1451"/>
      <c r="E9" s="1451"/>
      <c r="F9" s="1451"/>
      <c r="G9" s="1451"/>
      <c r="H9" s="590"/>
      <c r="I9" s="286"/>
      <c r="J9" s="286"/>
      <c r="K9" s="286"/>
      <c r="L9" s="287"/>
    </row>
    <row r="10" spans="1:12" ht="14.4">
      <c r="A10" s="1435" t="str">
        <f>'RRM Pricing Schedule'!A14&amp;" " &amp;'RRM Pricing Schedule'!B14</f>
        <v>32.01 Detailed assessment phase:</v>
      </c>
      <c r="B10" s="1436"/>
      <c r="C10" s="1436"/>
      <c r="D10" s="1436"/>
      <c r="E10" s="1436"/>
      <c r="F10" s="1436"/>
      <c r="G10" s="1436"/>
      <c r="H10" s="591"/>
      <c r="I10" s="284"/>
      <c r="J10" s="592"/>
      <c r="K10" s="284"/>
      <c r="L10" s="593"/>
    </row>
    <row r="11" spans="1:12">
      <c r="A11" s="1435" t="str">
        <f>'RRM Pricing Schedule'!B17</f>
        <v>(c) Toll fees</v>
      </c>
      <c r="B11" s="1436"/>
      <c r="C11" s="1436"/>
      <c r="D11" s="1436"/>
      <c r="E11" s="1436"/>
      <c r="F11" s="1436"/>
      <c r="G11" s="1436"/>
      <c r="H11" s="591">
        <f>'RRM Pricing Schedule'!F17</f>
        <v>1000</v>
      </c>
      <c r="I11" s="284"/>
      <c r="J11" s="284"/>
      <c r="K11" s="594">
        <f>IF(H11=0,L11/100,(L11/H11))</f>
        <v>0</v>
      </c>
      <c r="L11" s="593">
        <f>SUM(L12:L18)</f>
        <v>0</v>
      </c>
    </row>
    <row r="12" spans="1:12">
      <c r="A12" s="1437"/>
      <c r="B12" s="1438"/>
      <c r="C12" s="1438"/>
      <c r="D12" s="1438"/>
      <c r="E12" s="1438"/>
      <c r="F12" s="1438"/>
      <c r="G12" s="1438"/>
      <c r="H12" s="605"/>
      <c r="I12" s="606"/>
      <c r="J12" s="607"/>
      <c r="K12" s="608"/>
      <c r="L12" s="595">
        <f>K12*J12</f>
        <v>0</v>
      </c>
    </row>
    <row r="13" spans="1:12">
      <c r="A13" s="1437"/>
      <c r="B13" s="1438"/>
      <c r="C13" s="1438"/>
      <c r="D13" s="1438"/>
      <c r="E13" s="1438"/>
      <c r="F13" s="1438"/>
      <c r="G13" s="1438"/>
      <c r="H13" s="605"/>
      <c r="I13" s="606"/>
      <c r="J13" s="607"/>
      <c r="K13" s="608"/>
      <c r="L13" s="593">
        <f t="shared" ref="L13:L18" si="0">K13*J13</f>
        <v>0</v>
      </c>
    </row>
    <row r="14" spans="1:12">
      <c r="A14" s="1437"/>
      <c r="B14" s="1438"/>
      <c r="C14" s="1438"/>
      <c r="D14" s="1438"/>
      <c r="E14" s="1438"/>
      <c r="F14" s="1438"/>
      <c r="G14" s="1438"/>
      <c r="H14" s="605"/>
      <c r="I14" s="606"/>
      <c r="J14" s="607"/>
      <c r="K14" s="608"/>
      <c r="L14" s="593">
        <f t="shared" si="0"/>
        <v>0</v>
      </c>
    </row>
    <row r="15" spans="1:12">
      <c r="A15" s="1437"/>
      <c r="B15" s="1438"/>
      <c r="C15" s="1438"/>
      <c r="D15" s="1438"/>
      <c r="E15" s="1438"/>
      <c r="F15" s="1438"/>
      <c r="G15" s="1438"/>
      <c r="H15" s="605"/>
      <c r="I15" s="606"/>
      <c r="J15" s="607"/>
      <c r="K15" s="608"/>
      <c r="L15" s="593">
        <f t="shared" si="0"/>
        <v>0</v>
      </c>
    </row>
    <row r="16" spans="1:12">
      <c r="A16" s="1437"/>
      <c r="B16" s="1438"/>
      <c r="C16" s="1438"/>
      <c r="D16" s="1438"/>
      <c r="E16" s="1438"/>
      <c r="F16" s="1438"/>
      <c r="G16" s="1438"/>
      <c r="H16" s="605"/>
      <c r="I16" s="606"/>
      <c r="J16" s="607"/>
      <c r="K16" s="608"/>
      <c r="L16" s="593">
        <f t="shared" si="0"/>
        <v>0</v>
      </c>
    </row>
    <row r="17" spans="1:12">
      <c r="A17" s="1437"/>
      <c r="B17" s="1438"/>
      <c r="C17" s="1438"/>
      <c r="D17" s="1438"/>
      <c r="E17" s="1438"/>
      <c r="F17" s="1438"/>
      <c r="G17" s="1438"/>
      <c r="H17" s="605"/>
      <c r="I17" s="606"/>
      <c r="J17" s="607"/>
      <c r="K17" s="608"/>
      <c r="L17" s="593">
        <f t="shared" si="0"/>
        <v>0</v>
      </c>
    </row>
    <row r="18" spans="1:12">
      <c r="A18" s="1437"/>
      <c r="B18" s="1438"/>
      <c r="C18" s="1438"/>
      <c r="D18" s="1438"/>
      <c r="E18" s="1438"/>
      <c r="F18" s="1438"/>
      <c r="G18" s="1438"/>
      <c r="H18" s="605"/>
      <c r="I18" s="606"/>
      <c r="J18" s="607"/>
      <c r="K18" s="608"/>
      <c r="L18" s="593">
        <f t="shared" si="0"/>
        <v>0</v>
      </c>
    </row>
    <row r="19" spans="1:12" ht="14.4">
      <c r="A19" s="1435" t="str">
        <f>'RRM Pricing Schedule'!A19&amp;" " &amp;'RRM Pricing Schedule'!B19</f>
        <v>32.03 Environmental  Services</v>
      </c>
      <c r="B19" s="1436"/>
      <c r="C19" s="1436"/>
      <c r="D19" s="1436"/>
      <c r="E19" s="1436"/>
      <c r="F19" s="1436"/>
      <c r="G19" s="1436"/>
      <c r="H19" s="591"/>
      <c r="I19" s="284"/>
      <c r="J19" s="592"/>
      <c r="K19" s="284"/>
      <c r="L19" s="593"/>
    </row>
    <row r="20" spans="1:12">
      <c r="A20" s="1435" t="str">
        <f>'RRM Pricing Schedule'!B20</f>
        <v>(a) Environmental services during design stage</v>
      </c>
      <c r="B20" s="1436"/>
      <c r="C20" s="1436"/>
      <c r="D20" s="1436"/>
      <c r="E20" s="1436"/>
      <c r="F20" s="1436"/>
      <c r="G20" s="1436"/>
      <c r="H20" s="591">
        <f>'RRM Pricing Schedule'!F20</f>
        <v>100000</v>
      </c>
      <c r="I20" s="284"/>
      <c r="J20" s="284"/>
      <c r="K20" s="594">
        <f>IF(H20=0,L20/100,(L20/H20))</f>
        <v>0</v>
      </c>
      <c r="L20" s="593">
        <f>SUM(L21:L27)</f>
        <v>0</v>
      </c>
    </row>
    <row r="21" spans="1:12">
      <c r="A21" s="1437"/>
      <c r="B21" s="1438"/>
      <c r="C21" s="1438"/>
      <c r="D21" s="1438"/>
      <c r="E21" s="1438"/>
      <c r="F21" s="1438"/>
      <c r="G21" s="1438"/>
      <c r="H21" s="605"/>
      <c r="I21" s="606"/>
      <c r="J21" s="607"/>
      <c r="K21" s="608"/>
      <c r="L21" s="595">
        <f>K21*J21</f>
        <v>0</v>
      </c>
    </row>
    <row r="22" spans="1:12">
      <c r="A22" s="1437"/>
      <c r="B22" s="1438"/>
      <c r="C22" s="1438"/>
      <c r="D22" s="1438"/>
      <c r="E22" s="1438"/>
      <c r="F22" s="1438"/>
      <c r="G22" s="1438"/>
      <c r="H22" s="605"/>
      <c r="I22" s="606"/>
      <c r="J22" s="607"/>
      <c r="K22" s="608"/>
      <c r="L22" s="593">
        <f t="shared" ref="L22:L27" si="1">K22*J22</f>
        <v>0</v>
      </c>
    </row>
    <row r="23" spans="1:12">
      <c r="A23" s="1437"/>
      <c r="B23" s="1438"/>
      <c r="C23" s="1438"/>
      <c r="D23" s="1438"/>
      <c r="E23" s="1438"/>
      <c r="F23" s="1438"/>
      <c r="G23" s="1438"/>
      <c r="H23" s="605"/>
      <c r="I23" s="606"/>
      <c r="J23" s="607"/>
      <c r="K23" s="608"/>
      <c r="L23" s="593">
        <f t="shared" si="1"/>
        <v>0</v>
      </c>
    </row>
    <row r="24" spans="1:12">
      <c r="A24" s="1437"/>
      <c r="B24" s="1438"/>
      <c r="C24" s="1438"/>
      <c r="D24" s="1438"/>
      <c r="E24" s="1438"/>
      <c r="F24" s="1438"/>
      <c r="G24" s="1438"/>
      <c r="H24" s="605"/>
      <c r="I24" s="606"/>
      <c r="J24" s="607"/>
      <c r="K24" s="608"/>
      <c r="L24" s="593">
        <f t="shared" si="1"/>
        <v>0</v>
      </c>
    </row>
    <row r="25" spans="1:12">
      <c r="A25" s="1437"/>
      <c r="B25" s="1438"/>
      <c r="C25" s="1438"/>
      <c r="D25" s="1438"/>
      <c r="E25" s="1438"/>
      <c r="F25" s="1438"/>
      <c r="G25" s="1438"/>
      <c r="H25" s="605"/>
      <c r="I25" s="606"/>
      <c r="J25" s="607"/>
      <c r="K25" s="608"/>
      <c r="L25" s="593">
        <f t="shared" si="1"/>
        <v>0</v>
      </c>
    </row>
    <row r="26" spans="1:12">
      <c r="A26" s="1437"/>
      <c r="B26" s="1438"/>
      <c r="C26" s="1438"/>
      <c r="D26" s="1438"/>
      <c r="E26" s="1438"/>
      <c r="F26" s="1438"/>
      <c r="G26" s="1438"/>
      <c r="H26" s="605"/>
      <c r="I26" s="606"/>
      <c r="J26" s="607"/>
      <c r="K26" s="608"/>
      <c r="L26" s="593">
        <f t="shared" si="1"/>
        <v>0</v>
      </c>
    </row>
    <row r="27" spans="1:12">
      <c r="A27" s="1437"/>
      <c r="B27" s="1438"/>
      <c r="C27" s="1438"/>
      <c r="D27" s="1438"/>
      <c r="E27" s="1438"/>
      <c r="F27" s="1438"/>
      <c r="G27" s="1438"/>
      <c r="H27" s="605"/>
      <c r="I27" s="606"/>
      <c r="J27" s="607"/>
      <c r="K27" s="608"/>
      <c r="L27" s="593">
        <f t="shared" si="1"/>
        <v>0</v>
      </c>
    </row>
    <row r="28" spans="1:12" ht="14.4">
      <c r="A28" s="1435" t="str">
        <f>'RRM Pricing Schedule'!A22&amp;" " &amp;'RRM Pricing Schedule'!B22</f>
        <v>32.04 Investigation and sampling for roadbed, borrow pits, quarries, structure founding materials and other areas, e.g. Cuttings</v>
      </c>
      <c r="B28" s="1436"/>
      <c r="C28" s="1436"/>
      <c r="D28" s="1436"/>
      <c r="E28" s="1436"/>
      <c r="F28" s="1436"/>
      <c r="G28" s="1436"/>
      <c r="H28" s="591"/>
      <c r="I28" s="284"/>
      <c r="J28" s="592"/>
      <c r="K28" s="284"/>
      <c r="L28" s="593"/>
    </row>
    <row r="29" spans="1:12">
      <c r="A29" s="1435" t="str">
        <f>'RRM Pricing Schedule'!B24</f>
        <v>(b)   Hire and operation of excavator</v>
      </c>
      <c r="B29" s="1436"/>
      <c r="C29" s="1436"/>
      <c r="D29" s="1436"/>
      <c r="E29" s="1436"/>
      <c r="F29" s="1436"/>
      <c r="G29" s="1436"/>
      <c r="H29" s="591">
        <f>'RRM Pricing Schedule'!F24</f>
        <v>100000</v>
      </c>
      <c r="I29" s="284"/>
      <c r="J29" s="284"/>
      <c r="K29" s="594">
        <f>IF(H29=0,L29/100,(L29/H29))</f>
        <v>0</v>
      </c>
      <c r="L29" s="593">
        <f>SUM(L30:L36)</f>
        <v>0</v>
      </c>
    </row>
    <row r="30" spans="1:12">
      <c r="A30" s="1437"/>
      <c r="B30" s="1438"/>
      <c r="C30" s="1438"/>
      <c r="D30" s="1438"/>
      <c r="E30" s="1438"/>
      <c r="F30" s="1438"/>
      <c r="G30" s="1438"/>
      <c r="H30" s="605"/>
      <c r="I30" s="606"/>
      <c r="J30" s="607"/>
      <c r="K30" s="608"/>
      <c r="L30" s="595">
        <f>K30*J30</f>
        <v>0</v>
      </c>
    </row>
    <row r="31" spans="1:12">
      <c r="A31" s="1437"/>
      <c r="B31" s="1438"/>
      <c r="C31" s="1438"/>
      <c r="D31" s="1438"/>
      <c r="E31" s="1438"/>
      <c r="F31" s="1438"/>
      <c r="G31" s="1438"/>
      <c r="H31" s="605"/>
      <c r="I31" s="606"/>
      <c r="J31" s="607"/>
      <c r="K31" s="608"/>
      <c r="L31" s="593">
        <f t="shared" ref="L31:L36" si="2">K31*J31</f>
        <v>0</v>
      </c>
    </row>
    <row r="32" spans="1:12">
      <c r="A32" s="1437"/>
      <c r="B32" s="1438"/>
      <c r="C32" s="1438"/>
      <c r="D32" s="1438"/>
      <c r="E32" s="1438"/>
      <c r="F32" s="1438"/>
      <c r="G32" s="1438"/>
      <c r="H32" s="605"/>
      <c r="I32" s="606"/>
      <c r="J32" s="607"/>
      <c r="K32" s="608"/>
      <c r="L32" s="593">
        <f t="shared" si="2"/>
        <v>0</v>
      </c>
    </row>
    <row r="33" spans="1:12">
      <c r="A33" s="1437"/>
      <c r="B33" s="1438"/>
      <c r="C33" s="1438"/>
      <c r="D33" s="1438"/>
      <c r="E33" s="1438"/>
      <c r="F33" s="1438"/>
      <c r="G33" s="1438"/>
      <c r="H33" s="605"/>
      <c r="I33" s="606"/>
      <c r="J33" s="607"/>
      <c r="K33" s="608"/>
      <c r="L33" s="593">
        <f t="shared" si="2"/>
        <v>0</v>
      </c>
    </row>
    <row r="34" spans="1:12">
      <c r="A34" s="1437"/>
      <c r="B34" s="1438"/>
      <c r="C34" s="1438"/>
      <c r="D34" s="1438"/>
      <c r="E34" s="1438"/>
      <c r="F34" s="1438"/>
      <c r="G34" s="1438"/>
      <c r="H34" s="605"/>
      <c r="I34" s="606"/>
      <c r="J34" s="607"/>
      <c r="K34" s="608"/>
      <c r="L34" s="593">
        <f t="shared" si="2"/>
        <v>0</v>
      </c>
    </row>
    <row r="35" spans="1:12">
      <c r="A35" s="1437"/>
      <c r="B35" s="1438"/>
      <c r="C35" s="1438"/>
      <c r="D35" s="1438"/>
      <c r="E35" s="1438"/>
      <c r="F35" s="1438"/>
      <c r="G35" s="1438"/>
      <c r="H35" s="605"/>
      <c r="I35" s="606"/>
      <c r="J35" s="607"/>
      <c r="K35" s="608"/>
      <c r="L35" s="593">
        <f t="shared" si="2"/>
        <v>0</v>
      </c>
    </row>
    <row r="36" spans="1:12" ht="13.8" thickBot="1">
      <c r="A36" s="1437"/>
      <c r="B36" s="1438"/>
      <c r="C36" s="1438"/>
      <c r="D36" s="1438"/>
      <c r="E36" s="1438"/>
      <c r="F36" s="1438"/>
      <c r="G36" s="1438"/>
      <c r="H36" s="605"/>
      <c r="I36" s="606"/>
      <c r="J36" s="607"/>
      <c r="K36" s="608"/>
      <c r="L36" s="593">
        <f t="shared" si="2"/>
        <v>0</v>
      </c>
    </row>
    <row r="37" spans="1:12">
      <c r="A37" s="1446"/>
      <c r="B37" s="1447"/>
      <c r="C37" s="1447"/>
      <c r="D37" s="1447"/>
      <c r="E37" s="1447"/>
      <c r="F37" s="1447"/>
      <c r="G37" s="1447"/>
      <c r="H37" s="1448"/>
      <c r="I37" s="596"/>
      <c r="J37" s="597" t="s">
        <v>196</v>
      </c>
      <c r="K37" s="598">
        <f>'3200'!A7</f>
        <v>3200</v>
      </c>
      <c r="L37" s="599">
        <f>L11+L20+L29</f>
        <v>0</v>
      </c>
    </row>
    <row r="38" spans="1:12" ht="13.8" thickBot="1">
      <c r="A38" s="1443"/>
      <c r="B38" s="1444"/>
      <c r="C38" s="1444"/>
      <c r="D38" s="1444"/>
      <c r="E38" s="1444"/>
      <c r="F38" s="1444"/>
      <c r="G38" s="1444"/>
      <c r="H38" s="1445"/>
      <c r="I38" s="600"/>
      <c r="J38" s="600"/>
      <c r="K38" s="601"/>
      <c r="L38" s="602"/>
    </row>
    <row r="39" spans="1:12" ht="13.8" thickBot="1">
      <c r="A39" s="1432" t="s">
        <v>246</v>
      </c>
      <c r="B39" s="1433"/>
      <c r="C39" s="1433"/>
      <c r="D39" s="1433"/>
      <c r="E39" s="1433"/>
      <c r="F39" s="1433"/>
      <c r="G39" s="1433"/>
      <c r="H39" s="1433"/>
      <c r="I39" s="1433"/>
      <c r="J39" s="1433"/>
      <c r="K39" s="1434"/>
      <c r="L39" s="603">
        <f>L37</f>
        <v>0</v>
      </c>
    </row>
    <row r="40" spans="1:12" ht="15.6">
      <c r="L40" s="587" t="s">
        <v>247</v>
      </c>
    </row>
    <row r="41" spans="1:12" ht="8.25" customHeight="1">
      <c r="L41" s="588"/>
    </row>
    <row r="42" spans="1:12" ht="15.75" customHeight="1">
      <c r="A42" s="1449" t="s">
        <v>248</v>
      </c>
      <c r="B42" s="1355"/>
      <c r="C42" s="276" t="str">
        <f>$C$3</f>
        <v>X.002-180-2024/1RF</v>
      </c>
      <c r="D42" s="98"/>
      <c r="E42" s="98"/>
      <c r="F42" s="1442">
        <f>$F$3</f>
        <v>46053</v>
      </c>
      <c r="G42" s="1442"/>
      <c r="H42" s="1408" t="s">
        <v>207</v>
      </c>
      <c r="I42" s="1408"/>
      <c r="J42" s="1408"/>
      <c r="K42" s="1409">
        <f>$K$3</f>
        <v>1</v>
      </c>
      <c r="L42" s="1357"/>
    </row>
    <row r="43" spans="1:12" ht="15.75" customHeight="1" thickBot="1"/>
    <row r="44" spans="1:12" ht="15.75" customHeight="1">
      <c r="A44" s="193"/>
      <c r="B44" s="194"/>
      <c r="C44" s="194"/>
      <c r="D44" s="194"/>
      <c r="E44" s="194"/>
      <c r="F44" s="194"/>
      <c r="G44" s="194"/>
      <c r="H44" s="194"/>
      <c r="I44" s="194"/>
      <c r="J44" s="194"/>
      <c r="K44" s="194"/>
      <c r="L44" s="277"/>
    </row>
    <row r="45" spans="1:12" ht="15.75" customHeight="1">
      <c r="A45" s="1349" t="s">
        <v>245</v>
      </c>
      <c r="B45" s="1350"/>
      <c r="C45" s="1350"/>
      <c r="D45" s="1350"/>
      <c r="E45" s="1350"/>
      <c r="F45" s="1350"/>
      <c r="G45" s="1350"/>
      <c r="H45" s="1350"/>
      <c r="I45" s="1350"/>
      <c r="J45" s="1350"/>
      <c r="K45" s="1350"/>
      <c r="L45" s="1351"/>
    </row>
    <row r="46" spans="1:12" ht="15.75" customHeight="1" thickBot="1">
      <c r="A46" s="278"/>
      <c r="L46" s="279"/>
    </row>
    <row r="47" spans="1:12" ht="15.75" customHeight="1" thickBot="1">
      <c r="A47" s="1439" t="s">
        <v>0</v>
      </c>
      <c r="B47" s="1440"/>
      <c r="C47" s="1440"/>
      <c r="D47" s="1440"/>
      <c r="E47" s="1440"/>
      <c r="F47" s="1440"/>
      <c r="G47" s="1440"/>
      <c r="H47" s="1441"/>
      <c r="I47" s="280" t="s">
        <v>1</v>
      </c>
      <c r="J47" s="280" t="s">
        <v>2</v>
      </c>
      <c r="K47" s="280" t="s">
        <v>3</v>
      </c>
      <c r="L47" s="281" t="s">
        <v>231</v>
      </c>
    </row>
    <row r="48" spans="1:12" ht="12.75" customHeight="1" thickBot="1">
      <c r="A48" s="1432" t="s">
        <v>249</v>
      </c>
      <c r="B48" s="1433"/>
      <c r="C48" s="1433"/>
      <c r="D48" s="1433"/>
      <c r="E48" s="1433"/>
      <c r="F48" s="1433"/>
      <c r="G48" s="1433"/>
      <c r="H48" s="1433"/>
      <c r="I48" s="1433"/>
      <c r="J48" s="1433"/>
      <c r="K48" s="1434"/>
      <c r="L48" s="295">
        <f>L39</f>
        <v>0</v>
      </c>
    </row>
    <row r="49" spans="1:12" ht="12.75" customHeight="1">
      <c r="A49" s="1450" t="str">
        <f>'RRM Pricing Schedule'!A42&amp;" " &amp;'RRM Pricing Schedule'!B42</f>
        <v>3400 SITE INSPECTION AND TENDER PERIOD</v>
      </c>
      <c r="B49" s="1451"/>
      <c r="C49" s="1451"/>
      <c r="D49" s="1451"/>
      <c r="E49" s="1451"/>
      <c r="F49" s="1451"/>
      <c r="G49" s="1451"/>
      <c r="H49" s="590"/>
      <c r="I49" s="286"/>
      <c r="J49" s="286"/>
      <c r="K49" s="286"/>
      <c r="L49" s="287"/>
    </row>
    <row r="50" spans="1:12" ht="14.4">
      <c r="A50" s="1435" t="str">
        <f>'RRM Pricing Schedule'!A43&amp;" " &amp;'RRM Pricing Schedule'!B43</f>
        <v>34.01 Site inspection and Tender period</v>
      </c>
      <c r="B50" s="1436"/>
      <c r="C50" s="1436"/>
      <c r="D50" s="1436"/>
      <c r="E50" s="1436"/>
      <c r="F50" s="1436"/>
      <c r="G50" s="1436"/>
      <c r="H50" s="591"/>
      <c r="I50" s="284"/>
      <c r="J50" s="592"/>
      <c r="K50" s="284"/>
      <c r="L50" s="593"/>
    </row>
    <row r="51" spans="1:12">
      <c r="A51" s="1435" t="str">
        <f>'RRM Pricing Schedule'!B45</f>
        <v>(b)   Provision for venue and bus</v>
      </c>
      <c r="B51" s="1436"/>
      <c r="C51" s="1436"/>
      <c r="D51" s="1436"/>
      <c r="E51" s="1436"/>
      <c r="F51" s="1436"/>
      <c r="G51" s="1436"/>
      <c r="H51" s="591">
        <f>'RRM Pricing Schedule'!F45</f>
        <v>15000</v>
      </c>
      <c r="I51" s="284"/>
      <c r="J51" s="284"/>
      <c r="K51" s="594">
        <f>IF(H51=0,L51/100,(L51/H51))</f>
        <v>0</v>
      </c>
      <c r="L51" s="593">
        <f>SUM(L52:L58)</f>
        <v>0</v>
      </c>
    </row>
    <row r="52" spans="1:12">
      <c r="A52" s="1437"/>
      <c r="B52" s="1438"/>
      <c r="C52" s="1438"/>
      <c r="D52" s="1438"/>
      <c r="E52" s="1438"/>
      <c r="F52" s="1438"/>
      <c r="G52" s="1438"/>
      <c r="H52" s="605"/>
      <c r="I52" s="606"/>
      <c r="J52" s="607"/>
      <c r="K52" s="608"/>
      <c r="L52" s="595">
        <f>K52*J52</f>
        <v>0</v>
      </c>
    </row>
    <row r="53" spans="1:12">
      <c r="A53" s="1437"/>
      <c r="B53" s="1438"/>
      <c r="C53" s="1438"/>
      <c r="D53" s="1438"/>
      <c r="E53" s="1438"/>
      <c r="F53" s="1438"/>
      <c r="G53" s="1438"/>
      <c r="H53" s="605"/>
      <c r="I53" s="606"/>
      <c r="J53" s="607"/>
      <c r="K53" s="608"/>
      <c r="L53" s="595">
        <f t="shared" ref="L53:L58" si="3">K53*J53</f>
        <v>0</v>
      </c>
    </row>
    <row r="54" spans="1:12">
      <c r="A54" s="1437"/>
      <c r="B54" s="1438"/>
      <c r="C54" s="1438"/>
      <c r="D54" s="1438"/>
      <c r="E54" s="1438"/>
      <c r="F54" s="1438"/>
      <c r="G54" s="1438"/>
      <c r="H54" s="605"/>
      <c r="I54" s="606"/>
      <c r="J54" s="607"/>
      <c r="K54" s="608"/>
      <c r="L54" s="595">
        <f t="shared" si="3"/>
        <v>0</v>
      </c>
    </row>
    <row r="55" spans="1:12">
      <c r="A55" s="1437"/>
      <c r="B55" s="1438"/>
      <c r="C55" s="1438"/>
      <c r="D55" s="1438"/>
      <c r="E55" s="1438"/>
      <c r="F55" s="1438"/>
      <c r="G55" s="1438"/>
      <c r="H55" s="605"/>
      <c r="I55" s="606"/>
      <c r="J55" s="607"/>
      <c r="K55" s="608"/>
      <c r="L55" s="595">
        <f t="shared" si="3"/>
        <v>0</v>
      </c>
    </row>
    <row r="56" spans="1:12">
      <c r="A56" s="1437"/>
      <c r="B56" s="1438"/>
      <c r="C56" s="1438"/>
      <c r="D56" s="1438"/>
      <c r="E56" s="1438"/>
      <c r="F56" s="1438"/>
      <c r="G56" s="1438"/>
      <c r="H56" s="605"/>
      <c r="I56" s="606"/>
      <c r="J56" s="607"/>
      <c r="K56" s="608"/>
      <c r="L56" s="595">
        <f t="shared" si="3"/>
        <v>0</v>
      </c>
    </row>
    <row r="57" spans="1:12">
      <c r="A57" s="1437"/>
      <c r="B57" s="1438"/>
      <c r="C57" s="1438"/>
      <c r="D57" s="1438"/>
      <c r="E57" s="1438"/>
      <c r="F57" s="1438"/>
      <c r="G57" s="1438"/>
      <c r="H57" s="605"/>
      <c r="I57" s="606"/>
      <c r="J57" s="607"/>
      <c r="K57" s="608"/>
      <c r="L57" s="595">
        <f t="shared" si="3"/>
        <v>0</v>
      </c>
    </row>
    <row r="58" spans="1:12" ht="13.8" thickBot="1">
      <c r="A58" s="1437"/>
      <c r="B58" s="1438"/>
      <c r="C58" s="1438"/>
      <c r="D58" s="1438"/>
      <c r="E58" s="1438"/>
      <c r="F58" s="1438"/>
      <c r="G58" s="1438"/>
      <c r="H58" s="605"/>
      <c r="I58" s="606"/>
      <c r="J58" s="607"/>
      <c r="K58" s="608"/>
      <c r="L58" s="595">
        <f t="shared" si="3"/>
        <v>0</v>
      </c>
    </row>
    <row r="59" spans="1:12">
      <c r="A59" s="1446"/>
      <c r="B59" s="1447"/>
      <c r="C59" s="1447"/>
      <c r="D59" s="1447"/>
      <c r="E59" s="1447"/>
      <c r="F59" s="1447"/>
      <c r="G59" s="1447"/>
      <c r="H59" s="1448"/>
      <c r="I59" s="596"/>
      <c r="J59" s="597" t="s">
        <v>196</v>
      </c>
      <c r="K59" s="598">
        <f>'3400'!A7</f>
        <v>3400</v>
      </c>
      <c r="L59" s="599">
        <f>L51</f>
        <v>0</v>
      </c>
    </row>
    <row r="60" spans="1:12" ht="13.8" thickBot="1">
      <c r="A60" s="1443"/>
      <c r="B60" s="1444"/>
      <c r="C60" s="1444"/>
      <c r="D60" s="1444"/>
      <c r="E60" s="1444"/>
      <c r="F60" s="1444"/>
      <c r="G60" s="1444"/>
      <c r="H60" s="1445"/>
      <c r="I60" s="600"/>
      <c r="J60" s="600"/>
      <c r="K60" s="601"/>
      <c r="L60" s="602"/>
    </row>
    <row r="61" spans="1:12" ht="13.8" thickBot="1">
      <c r="A61" s="1432" t="s">
        <v>250</v>
      </c>
      <c r="B61" s="1433"/>
      <c r="C61" s="1433"/>
      <c r="D61" s="1433"/>
      <c r="E61" s="1433"/>
      <c r="F61" s="1433"/>
      <c r="G61" s="1433"/>
      <c r="H61" s="1433"/>
      <c r="I61" s="1433"/>
      <c r="J61" s="1433"/>
      <c r="K61" s="1434"/>
      <c r="L61" s="604">
        <f>L48+L59</f>
        <v>0</v>
      </c>
    </row>
    <row r="62" spans="1:12" ht="15.6">
      <c r="L62" s="587" t="s">
        <v>251</v>
      </c>
    </row>
    <row r="63" spans="1:12" ht="8.25" customHeight="1">
      <c r="L63" s="588"/>
    </row>
    <row r="64" spans="1:12" ht="15.75" customHeight="1">
      <c r="A64" s="1449" t="s">
        <v>248</v>
      </c>
      <c r="B64" s="1355"/>
      <c r="C64" s="276" t="str">
        <f>$C$3</f>
        <v>X.002-180-2024/1RF</v>
      </c>
      <c r="D64" s="98"/>
      <c r="E64" s="98"/>
      <c r="F64" s="1442">
        <f>$F$3</f>
        <v>46053</v>
      </c>
      <c r="G64" s="1442"/>
      <c r="H64" s="1408" t="s">
        <v>207</v>
      </c>
      <c r="I64" s="1408"/>
      <c r="J64" s="1408"/>
      <c r="K64" s="1409">
        <f>$K$3</f>
        <v>1</v>
      </c>
      <c r="L64" s="1357"/>
    </row>
    <row r="65" spans="1:12" ht="15.75" customHeight="1" thickBot="1"/>
    <row r="66" spans="1:12" ht="15.75" customHeight="1">
      <c r="A66" s="193"/>
      <c r="B66" s="194"/>
      <c r="C66" s="194"/>
      <c r="D66" s="194"/>
      <c r="E66" s="194"/>
      <c r="F66" s="194"/>
      <c r="G66" s="194"/>
      <c r="H66" s="194"/>
      <c r="I66" s="194"/>
      <c r="J66" s="194"/>
      <c r="K66" s="194"/>
      <c r="L66" s="277"/>
    </row>
    <row r="67" spans="1:12" ht="15.75" customHeight="1">
      <c r="A67" s="1349" t="s">
        <v>245</v>
      </c>
      <c r="B67" s="1350"/>
      <c r="C67" s="1350"/>
      <c r="D67" s="1350"/>
      <c r="E67" s="1350"/>
      <c r="F67" s="1350"/>
      <c r="G67" s="1350"/>
      <c r="H67" s="1350"/>
      <c r="I67" s="1350"/>
      <c r="J67" s="1350"/>
      <c r="K67" s="1350"/>
      <c r="L67" s="1351"/>
    </row>
    <row r="68" spans="1:12" ht="15.75" customHeight="1" thickBot="1">
      <c r="A68" s="278"/>
      <c r="L68" s="279"/>
    </row>
    <row r="69" spans="1:12" ht="15.75" customHeight="1" thickBot="1">
      <c r="A69" s="1439" t="s">
        <v>0</v>
      </c>
      <c r="B69" s="1440"/>
      <c r="C69" s="1440"/>
      <c r="D69" s="1440"/>
      <c r="E69" s="1440"/>
      <c r="F69" s="1440"/>
      <c r="G69" s="1440"/>
      <c r="H69" s="1441"/>
      <c r="I69" s="280" t="s">
        <v>1</v>
      </c>
      <c r="J69" s="280" t="s">
        <v>2</v>
      </c>
      <c r="K69" s="280" t="s">
        <v>3</v>
      </c>
      <c r="L69" s="281" t="s">
        <v>231</v>
      </c>
    </row>
    <row r="70" spans="1:12" ht="12.75" customHeight="1" thickBot="1">
      <c r="A70" s="1432" t="s">
        <v>252</v>
      </c>
      <c r="B70" s="1433"/>
      <c r="C70" s="1433"/>
      <c r="D70" s="1433"/>
      <c r="E70" s="1433"/>
      <c r="F70" s="1433"/>
      <c r="G70" s="1433"/>
      <c r="H70" s="1433"/>
      <c r="I70" s="1433"/>
      <c r="J70" s="1433"/>
      <c r="K70" s="1434"/>
      <c r="L70" s="295">
        <f>L61</f>
        <v>0</v>
      </c>
    </row>
    <row r="71" spans="1:12" ht="12.75" customHeight="1">
      <c r="A71" s="1455" t="str">
        <f>'RRM Pricing Schedule'!A54&amp;" " &amp;'RRM Pricing Schedule'!B54</f>
        <v>3500 ADMINISTRATION &amp; MONITORING OF WORKS CONTRACT</v>
      </c>
      <c r="B71" s="1456"/>
      <c r="C71" s="1456"/>
      <c r="D71" s="1456"/>
      <c r="E71" s="1456"/>
      <c r="F71" s="1456"/>
      <c r="G71" s="1456"/>
      <c r="H71" s="1456"/>
      <c r="I71" s="1456"/>
      <c r="J71" s="1456"/>
      <c r="K71" s="1368"/>
      <c r="L71" s="287"/>
    </row>
    <row r="72" spans="1:12" ht="14.4">
      <c r="A72" s="1435" t="str">
        <f>'RRM Pricing Schedule'!A55&amp;" " &amp;'RRM Pricing Schedule'!B55</f>
        <v>35.01 Engineer and Head Office</v>
      </c>
      <c r="B72" s="1436"/>
      <c r="C72" s="1436"/>
      <c r="D72" s="1436"/>
      <c r="E72" s="1436"/>
      <c r="F72" s="1436"/>
      <c r="G72" s="1436"/>
      <c r="H72" s="591"/>
      <c r="I72" s="284"/>
      <c r="J72" s="592"/>
      <c r="K72" s="284"/>
      <c r="L72" s="593"/>
    </row>
    <row r="73" spans="1:12">
      <c r="A73" s="1435" t="str">
        <f>'RRM Pricing Schedule'!B59&amp;" " &amp;'RRM Pricing Schedule'!B61</f>
        <v>(c)   Occupational Health and Safety obligations:       (ii) External audits</v>
      </c>
      <c r="B73" s="1436"/>
      <c r="C73" s="1436"/>
      <c r="D73" s="1436"/>
      <c r="E73" s="1436"/>
      <c r="F73" s="1436"/>
      <c r="G73" s="1436"/>
      <c r="H73" s="591">
        <f>'RRM Pricing Schedule'!F61</f>
        <v>60000</v>
      </c>
      <c r="I73" s="284"/>
      <c r="J73" s="284"/>
      <c r="K73" s="594">
        <f>IF(H73=0,L73/100,(L73/H73))</f>
        <v>0</v>
      </c>
      <c r="L73" s="593">
        <f>SUM(L74:L80)</f>
        <v>0</v>
      </c>
    </row>
    <row r="74" spans="1:12">
      <c r="A74" s="1437"/>
      <c r="B74" s="1438"/>
      <c r="C74" s="1438"/>
      <c r="D74" s="1438"/>
      <c r="E74" s="1438"/>
      <c r="F74" s="1438"/>
      <c r="G74" s="1438"/>
      <c r="H74" s="605"/>
      <c r="I74" s="606"/>
      <c r="J74" s="607"/>
      <c r="K74" s="608"/>
      <c r="L74" s="595">
        <f>K74*J74</f>
        <v>0</v>
      </c>
    </row>
    <row r="75" spans="1:12">
      <c r="A75" s="1437"/>
      <c r="B75" s="1438"/>
      <c r="C75" s="1438"/>
      <c r="D75" s="1438"/>
      <c r="E75" s="1438"/>
      <c r="F75" s="1438"/>
      <c r="G75" s="1438"/>
      <c r="H75" s="605"/>
      <c r="I75" s="606"/>
      <c r="J75" s="607"/>
      <c r="K75" s="608"/>
      <c r="L75" s="595">
        <f t="shared" ref="L75:L80" si="4">K75*J75</f>
        <v>0</v>
      </c>
    </row>
    <row r="76" spans="1:12">
      <c r="A76" s="1437"/>
      <c r="B76" s="1438"/>
      <c r="C76" s="1438"/>
      <c r="D76" s="1438"/>
      <c r="E76" s="1438"/>
      <c r="F76" s="1438"/>
      <c r="G76" s="1438"/>
      <c r="H76" s="605"/>
      <c r="I76" s="606"/>
      <c r="J76" s="607"/>
      <c r="K76" s="608"/>
      <c r="L76" s="595">
        <f t="shared" si="4"/>
        <v>0</v>
      </c>
    </row>
    <row r="77" spans="1:12">
      <c r="A77" s="1437"/>
      <c r="B77" s="1438"/>
      <c r="C77" s="1438"/>
      <c r="D77" s="1438"/>
      <c r="E77" s="1438"/>
      <c r="F77" s="1438"/>
      <c r="G77" s="1438"/>
      <c r="H77" s="605"/>
      <c r="I77" s="606"/>
      <c r="J77" s="607"/>
      <c r="K77" s="608"/>
      <c r="L77" s="595">
        <f t="shared" si="4"/>
        <v>0</v>
      </c>
    </row>
    <row r="78" spans="1:12">
      <c r="A78" s="1437"/>
      <c r="B78" s="1438"/>
      <c r="C78" s="1438"/>
      <c r="D78" s="1438"/>
      <c r="E78" s="1438"/>
      <c r="F78" s="1438"/>
      <c r="G78" s="1438"/>
      <c r="H78" s="605"/>
      <c r="I78" s="606"/>
      <c r="J78" s="607"/>
      <c r="K78" s="608"/>
      <c r="L78" s="595">
        <f t="shared" si="4"/>
        <v>0</v>
      </c>
    </row>
    <row r="79" spans="1:12">
      <c r="A79" s="1437"/>
      <c r="B79" s="1438"/>
      <c r="C79" s="1438"/>
      <c r="D79" s="1438"/>
      <c r="E79" s="1438"/>
      <c r="F79" s="1438"/>
      <c r="G79" s="1438"/>
      <c r="H79" s="605"/>
      <c r="I79" s="606"/>
      <c r="J79" s="607"/>
      <c r="K79" s="608"/>
      <c r="L79" s="595">
        <f t="shared" si="4"/>
        <v>0</v>
      </c>
    </row>
    <row r="80" spans="1:12">
      <c r="A80" s="1437"/>
      <c r="B80" s="1438"/>
      <c r="C80" s="1438"/>
      <c r="D80" s="1438"/>
      <c r="E80" s="1438"/>
      <c r="F80" s="1438"/>
      <c r="G80" s="1438"/>
      <c r="H80" s="605"/>
      <c r="I80" s="606"/>
      <c r="J80" s="607"/>
      <c r="K80" s="608"/>
      <c r="L80" s="595">
        <f t="shared" si="4"/>
        <v>0</v>
      </c>
    </row>
    <row r="81" spans="1:12">
      <c r="A81" s="1435" t="str">
        <f>'RRM Pricing Schedule'!B63&amp;" " &amp;'RRM Pricing Schedule'!B64</f>
        <v>(d)   Training of Assistant Contract Engineer:      (i)  Training by Contract Engineer</v>
      </c>
      <c r="B81" s="1436"/>
      <c r="C81" s="1436"/>
      <c r="D81" s="1436"/>
      <c r="E81" s="1436"/>
      <c r="F81" s="1436"/>
      <c r="G81" s="1436"/>
      <c r="H81" s="591">
        <f>'RRM Pricing Schedule'!F64</f>
        <v>200000</v>
      </c>
      <c r="I81" s="284"/>
      <c r="J81" s="284"/>
      <c r="K81" s="594">
        <f>IF(H81=0,L81/100,(L81/H81))</f>
        <v>0</v>
      </c>
      <c r="L81" s="593">
        <f>SUM(L82:L88)</f>
        <v>0</v>
      </c>
    </row>
    <row r="82" spans="1:12">
      <c r="A82" s="1437"/>
      <c r="B82" s="1438"/>
      <c r="C82" s="1438"/>
      <c r="D82" s="1438"/>
      <c r="E82" s="1438"/>
      <c r="F82" s="1438"/>
      <c r="G82" s="1438"/>
      <c r="H82" s="605"/>
      <c r="I82" s="606"/>
      <c r="J82" s="607"/>
      <c r="K82" s="608"/>
      <c r="L82" s="595">
        <f>K82*J82</f>
        <v>0</v>
      </c>
    </row>
    <row r="83" spans="1:12">
      <c r="A83" s="1437"/>
      <c r="B83" s="1438"/>
      <c r="C83" s="1438"/>
      <c r="D83" s="1438"/>
      <c r="E83" s="1438"/>
      <c r="F83" s="1438"/>
      <c r="G83" s="1438"/>
      <c r="H83" s="605"/>
      <c r="I83" s="606"/>
      <c r="J83" s="607"/>
      <c r="K83" s="608"/>
      <c r="L83" s="595">
        <f t="shared" ref="L83:L88" si="5">K83*J83</f>
        <v>0</v>
      </c>
    </row>
    <row r="84" spans="1:12">
      <c r="A84" s="1437"/>
      <c r="B84" s="1438"/>
      <c r="C84" s="1438"/>
      <c r="D84" s="1438"/>
      <c r="E84" s="1438"/>
      <c r="F84" s="1438"/>
      <c r="G84" s="1438"/>
      <c r="H84" s="605"/>
      <c r="I84" s="606"/>
      <c r="J84" s="607"/>
      <c r="K84" s="608"/>
      <c r="L84" s="595">
        <f t="shared" si="5"/>
        <v>0</v>
      </c>
    </row>
    <row r="85" spans="1:12">
      <c r="A85" s="1437"/>
      <c r="B85" s="1438"/>
      <c r="C85" s="1438"/>
      <c r="D85" s="1438"/>
      <c r="E85" s="1438"/>
      <c r="F85" s="1438"/>
      <c r="G85" s="1438"/>
      <c r="H85" s="605"/>
      <c r="I85" s="606"/>
      <c r="J85" s="607"/>
      <c r="K85" s="608"/>
      <c r="L85" s="595">
        <f t="shared" si="5"/>
        <v>0</v>
      </c>
    </row>
    <row r="86" spans="1:12">
      <c r="A86" s="1437"/>
      <c r="B86" s="1438"/>
      <c r="C86" s="1438"/>
      <c r="D86" s="1438"/>
      <c r="E86" s="1438"/>
      <c r="F86" s="1438"/>
      <c r="G86" s="1438"/>
      <c r="H86" s="605"/>
      <c r="I86" s="606"/>
      <c r="J86" s="607"/>
      <c r="K86" s="608"/>
      <c r="L86" s="595">
        <f t="shared" si="5"/>
        <v>0</v>
      </c>
    </row>
    <row r="87" spans="1:12">
      <c r="A87" s="1437"/>
      <c r="B87" s="1438"/>
      <c r="C87" s="1438"/>
      <c r="D87" s="1438"/>
      <c r="E87" s="1438"/>
      <c r="F87" s="1438"/>
      <c r="G87" s="1438"/>
      <c r="H87" s="605"/>
      <c r="I87" s="606"/>
      <c r="J87" s="607"/>
      <c r="K87" s="608"/>
      <c r="L87" s="595">
        <f t="shared" si="5"/>
        <v>0</v>
      </c>
    </row>
    <row r="88" spans="1:12">
      <c r="A88" s="1437"/>
      <c r="B88" s="1438"/>
      <c r="C88" s="1438"/>
      <c r="D88" s="1438"/>
      <c r="E88" s="1438"/>
      <c r="F88" s="1438"/>
      <c r="G88" s="1438"/>
      <c r="H88" s="605"/>
      <c r="I88" s="606"/>
      <c r="J88" s="607"/>
      <c r="K88" s="608"/>
      <c r="L88" s="595">
        <f t="shared" si="5"/>
        <v>0</v>
      </c>
    </row>
    <row r="89" spans="1:12">
      <c r="A89" s="1435" t="e">
        <f>'RRM Pricing Schedule'!B63&amp;" " &amp;'RRM Pricing Schedule'!#REF!</f>
        <v>#REF!</v>
      </c>
      <c r="B89" s="1436"/>
      <c r="C89" s="1436"/>
      <c r="D89" s="1436"/>
      <c r="E89" s="1436"/>
      <c r="F89" s="1436"/>
      <c r="G89" s="1436"/>
      <c r="H89" s="591" t="e">
        <f>'RRM Pricing Schedule'!#REF!</f>
        <v>#REF!</v>
      </c>
      <c r="I89" s="284"/>
      <c r="J89" s="284"/>
      <c r="K89" s="594" t="e">
        <f>IF(H89=0,L89/100,(L89/H89))</f>
        <v>#REF!</v>
      </c>
      <c r="L89" s="593">
        <f>SUM(L90:L96)</f>
        <v>0</v>
      </c>
    </row>
    <row r="90" spans="1:12">
      <c r="A90" s="1437"/>
      <c r="B90" s="1438"/>
      <c r="C90" s="1438"/>
      <c r="D90" s="1438"/>
      <c r="E90" s="1438"/>
      <c r="F90" s="1438"/>
      <c r="G90" s="1438"/>
      <c r="H90" s="605"/>
      <c r="I90" s="606"/>
      <c r="J90" s="607"/>
      <c r="K90" s="608"/>
      <c r="L90" s="595">
        <f>K90*J90</f>
        <v>0</v>
      </c>
    </row>
    <row r="91" spans="1:12">
      <c r="A91" s="1437"/>
      <c r="B91" s="1438"/>
      <c r="C91" s="1438"/>
      <c r="D91" s="1438"/>
      <c r="E91" s="1438"/>
      <c r="F91" s="1438"/>
      <c r="G91" s="1438"/>
      <c r="H91" s="605"/>
      <c r="I91" s="606"/>
      <c r="J91" s="607"/>
      <c r="K91" s="608"/>
      <c r="L91" s="595">
        <f t="shared" ref="L91:L96" si="6">K91*J91</f>
        <v>0</v>
      </c>
    </row>
    <row r="92" spans="1:12">
      <c r="A92" s="1437"/>
      <c r="B92" s="1438"/>
      <c r="C92" s="1438"/>
      <c r="D92" s="1438"/>
      <c r="E92" s="1438"/>
      <c r="F92" s="1438"/>
      <c r="G92" s="1438"/>
      <c r="H92" s="605"/>
      <c r="I92" s="606"/>
      <c r="J92" s="607"/>
      <c r="K92" s="608"/>
      <c r="L92" s="595">
        <f t="shared" si="6"/>
        <v>0</v>
      </c>
    </row>
    <row r="93" spans="1:12">
      <c r="A93" s="1437"/>
      <c r="B93" s="1438"/>
      <c r="C93" s="1438"/>
      <c r="D93" s="1438"/>
      <c r="E93" s="1438"/>
      <c r="F93" s="1438"/>
      <c r="G93" s="1438"/>
      <c r="H93" s="605"/>
      <c r="I93" s="606"/>
      <c r="J93" s="607"/>
      <c r="K93" s="608"/>
      <c r="L93" s="595">
        <f t="shared" si="6"/>
        <v>0</v>
      </c>
    </row>
    <row r="94" spans="1:12">
      <c r="A94" s="1437"/>
      <c r="B94" s="1438"/>
      <c r="C94" s="1438"/>
      <c r="D94" s="1438"/>
      <c r="E94" s="1438"/>
      <c r="F94" s="1438"/>
      <c r="G94" s="1438"/>
      <c r="H94" s="605"/>
      <c r="I94" s="606"/>
      <c r="J94" s="607"/>
      <c r="K94" s="608"/>
      <c r="L94" s="595">
        <f t="shared" si="6"/>
        <v>0</v>
      </c>
    </row>
    <row r="95" spans="1:12">
      <c r="A95" s="1437"/>
      <c r="B95" s="1438"/>
      <c r="C95" s="1438"/>
      <c r="D95" s="1438"/>
      <c r="E95" s="1438"/>
      <c r="F95" s="1438"/>
      <c r="G95" s="1438"/>
      <c r="H95" s="605"/>
      <c r="I95" s="606"/>
      <c r="J95" s="607"/>
      <c r="K95" s="608"/>
      <c r="L95" s="595">
        <f t="shared" si="6"/>
        <v>0</v>
      </c>
    </row>
    <row r="96" spans="1:12">
      <c r="A96" s="1437"/>
      <c r="B96" s="1438"/>
      <c r="C96" s="1438"/>
      <c r="D96" s="1438"/>
      <c r="E96" s="1438"/>
      <c r="F96" s="1438"/>
      <c r="G96" s="1438"/>
      <c r="H96" s="605"/>
      <c r="I96" s="606"/>
      <c r="J96" s="607"/>
      <c r="K96" s="608"/>
      <c r="L96" s="595">
        <f t="shared" si="6"/>
        <v>0</v>
      </c>
    </row>
    <row r="97" spans="1:12">
      <c r="A97" s="1435" t="e">
        <f>'RRM Pricing Schedule'!B63&amp;" " &amp;'RRM Pricing Schedule'!#REF!</f>
        <v>#REF!</v>
      </c>
      <c r="B97" s="1436"/>
      <c r="C97" s="1436"/>
      <c r="D97" s="1436"/>
      <c r="E97" s="1436"/>
      <c r="F97" s="1436"/>
      <c r="G97" s="1436"/>
      <c r="H97" s="591" t="e">
        <f>'RRM Pricing Schedule'!#REF!</f>
        <v>#REF!</v>
      </c>
      <c r="I97" s="284"/>
      <c r="J97" s="284"/>
      <c r="K97" s="594" t="e">
        <f>IF(H97=0,L97/100,(L97/H97))</f>
        <v>#REF!</v>
      </c>
      <c r="L97" s="593">
        <f>SUM(L98:L104)</f>
        <v>0</v>
      </c>
    </row>
    <row r="98" spans="1:12">
      <c r="A98" s="1437"/>
      <c r="B98" s="1438"/>
      <c r="C98" s="1438"/>
      <c r="D98" s="1438"/>
      <c r="E98" s="1438"/>
      <c r="F98" s="1438"/>
      <c r="G98" s="1438"/>
      <c r="H98" s="605"/>
      <c r="I98" s="606"/>
      <c r="J98" s="607"/>
      <c r="K98" s="608"/>
      <c r="L98" s="595">
        <f>K98*J98</f>
        <v>0</v>
      </c>
    </row>
    <row r="99" spans="1:12">
      <c r="A99" s="1437"/>
      <c r="B99" s="1438"/>
      <c r="C99" s="1438"/>
      <c r="D99" s="1438"/>
      <c r="E99" s="1438"/>
      <c r="F99" s="1438"/>
      <c r="G99" s="1438"/>
      <c r="H99" s="605"/>
      <c r="I99" s="606"/>
      <c r="J99" s="607"/>
      <c r="K99" s="608"/>
      <c r="L99" s="595">
        <f t="shared" ref="L99:L104" si="7">K99*J99</f>
        <v>0</v>
      </c>
    </row>
    <row r="100" spans="1:12">
      <c r="A100" s="1437"/>
      <c r="B100" s="1438"/>
      <c r="C100" s="1438"/>
      <c r="D100" s="1438"/>
      <c r="E100" s="1438"/>
      <c r="F100" s="1438"/>
      <c r="G100" s="1438"/>
      <c r="H100" s="605"/>
      <c r="I100" s="606"/>
      <c r="J100" s="607"/>
      <c r="K100" s="608"/>
      <c r="L100" s="595">
        <f t="shared" si="7"/>
        <v>0</v>
      </c>
    </row>
    <row r="101" spans="1:12">
      <c r="A101" s="1437"/>
      <c r="B101" s="1438"/>
      <c r="C101" s="1438"/>
      <c r="D101" s="1438"/>
      <c r="E101" s="1438"/>
      <c r="F101" s="1438"/>
      <c r="G101" s="1438"/>
      <c r="H101" s="605"/>
      <c r="I101" s="606"/>
      <c r="J101" s="607"/>
      <c r="K101" s="608"/>
      <c r="L101" s="595">
        <f t="shared" si="7"/>
        <v>0</v>
      </c>
    </row>
    <row r="102" spans="1:12">
      <c r="A102" s="1437"/>
      <c r="B102" s="1438"/>
      <c r="C102" s="1438"/>
      <c r="D102" s="1438"/>
      <c r="E102" s="1438"/>
      <c r="F102" s="1438"/>
      <c r="G102" s="1438"/>
      <c r="H102" s="605"/>
      <c r="I102" s="606"/>
      <c r="J102" s="607"/>
      <c r="K102" s="608"/>
      <c r="L102" s="595">
        <f t="shared" si="7"/>
        <v>0</v>
      </c>
    </row>
    <row r="103" spans="1:12">
      <c r="A103" s="1437"/>
      <c r="B103" s="1438"/>
      <c r="C103" s="1438"/>
      <c r="D103" s="1438"/>
      <c r="E103" s="1438"/>
      <c r="F103" s="1438"/>
      <c r="G103" s="1438"/>
      <c r="H103" s="605"/>
      <c r="I103" s="606"/>
      <c r="J103" s="607"/>
      <c r="K103" s="608"/>
      <c r="L103" s="595">
        <f t="shared" si="7"/>
        <v>0</v>
      </c>
    </row>
    <row r="104" spans="1:12">
      <c r="A104" s="1437"/>
      <c r="B104" s="1438"/>
      <c r="C104" s="1438"/>
      <c r="D104" s="1438"/>
      <c r="E104" s="1438"/>
      <c r="F104" s="1438"/>
      <c r="G104" s="1438"/>
      <c r="H104" s="605"/>
      <c r="I104" s="606"/>
      <c r="J104" s="607"/>
      <c r="K104" s="608"/>
      <c r="L104" s="595">
        <f t="shared" si="7"/>
        <v>0</v>
      </c>
    </row>
    <row r="105" spans="1:12" ht="14.4">
      <c r="A105" s="1435" t="str">
        <f>'RRM Pricing Schedule'!A66&amp;" " &amp;'RRM Pricing Schedule'!B66</f>
        <v>35.02 Establishment of Supervisory team on site</v>
      </c>
      <c r="B105" s="1436"/>
      <c r="C105" s="1436"/>
      <c r="D105" s="1436"/>
      <c r="E105" s="1436"/>
      <c r="F105" s="1436"/>
      <c r="G105" s="1436"/>
      <c r="H105" s="591"/>
      <c r="I105" s="284"/>
      <c r="J105" s="592"/>
      <c r="K105" s="284"/>
      <c r="L105" s="593"/>
    </row>
    <row r="106" spans="1:12">
      <c r="A106" s="1435" t="str">
        <f>'RRM Pricing Schedule'!B67</f>
        <v>(a)   Relocation cost of individual site personnel</v>
      </c>
      <c r="B106" s="1436"/>
      <c r="C106" s="1436"/>
      <c r="D106" s="1436"/>
      <c r="E106" s="1436"/>
      <c r="F106" s="1436"/>
      <c r="G106" s="1436"/>
      <c r="H106" s="591">
        <f>'RRM Pricing Schedule'!E67</f>
        <v>100000</v>
      </c>
      <c r="I106" s="284"/>
      <c r="J106" s="284"/>
      <c r="K106" s="594">
        <f>IF(H106=0,L106/100,(L106/H106))</f>
        <v>0</v>
      </c>
      <c r="L106" s="593">
        <f>SUM(L107:L113)</f>
        <v>0</v>
      </c>
    </row>
    <row r="107" spans="1:12">
      <c r="A107" s="1437"/>
      <c r="B107" s="1438"/>
      <c r="C107" s="1438"/>
      <c r="D107" s="1438"/>
      <c r="E107" s="1438"/>
      <c r="F107" s="1438"/>
      <c r="G107" s="1438"/>
      <c r="H107" s="605"/>
      <c r="I107" s="606"/>
      <c r="J107" s="607"/>
      <c r="K107" s="608"/>
      <c r="L107" s="595">
        <f>K107*J107</f>
        <v>0</v>
      </c>
    </row>
    <row r="108" spans="1:12">
      <c r="A108" s="1437"/>
      <c r="B108" s="1438"/>
      <c r="C108" s="1438"/>
      <c r="D108" s="1438"/>
      <c r="E108" s="1438"/>
      <c r="F108" s="1438"/>
      <c r="G108" s="1438"/>
      <c r="H108" s="605"/>
      <c r="I108" s="606"/>
      <c r="J108" s="607"/>
      <c r="K108" s="608"/>
      <c r="L108" s="595">
        <f t="shared" ref="L108:L113" si="8">K108*J108</f>
        <v>0</v>
      </c>
    </row>
    <row r="109" spans="1:12">
      <c r="A109" s="1437"/>
      <c r="B109" s="1438"/>
      <c r="C109" s="1438"/>
      <c r="D109" s="1438"/>
      <c r="E109" s="1438"/>
      <c r="F109" s="1438"/>
      <c r="G109" s="1438"/>
      <c r="H109" s="605"/>
      <c r="I109" s="606"/>
      <c r="J109" s="607"/>
      <c r="K109" s="608"/>
      <c r="L109" s="595">
        <f t="shared" si="8"/>
        <v>0</v>
      </c>
    </row>
    <row r="110" spans="1:12">
      <c r="A110" s="1437"/>
      <c r="B110" s="1438"/>
      <c r="C110" s="1438"/>
      <c r="D110" s="1438"/>
      <c r="E110" s="1438"/>
      <c r="F110" s="1438"/>
      <c r="G110" s="1438"/>
      <c r="H110" s="605"/>
      <c r="I110" s="606"/>
      <c r="J110" s="607"/>
      <c r="K110" s="608"/>
      <c r="L110" s="595">
        <f t="shared" si="8"/>
        <v>0</v>
      </c>
    </row>
    <row r="111" spans="1:12">
      <c r="A111" s="1437"/>
      <c r="B111" s="1438"/>
      <c r="C111" s="1438"/>
      <c r="D111" s="1438"/>
      <c r="E111" s="1438"/>
      <c r="F111" s="1438"/>
      <c r="G111" s="1438"/>
      <c r="H111" s="605"/>
      <c r="I111" s="606"/>
      <c r="J111" s="607"/>
      <c r="K111" s="608"/>
      <c r="L111" s="595">
        <f t="shared" si="8"/>
        <v>0</v>
      </c>
    </row>
    <row r="112" spans="1:12">
      <c r="A112" s="1437"/>
      <c r="B112" s="1438"/>
      <c r="C112" s="1438"/>
      <c r="D112" s="1438"/>
      <c r="E112" s="1438"/>
      <c r="F112" s="1438"/>
      <c r="G112" s="1438"/>
      <c r="H112" s="605"/>
      <c r="I112" s="606"/>
      <c r="J112" s="607"/>
      <c r="K112" s="608"/>
      <c r="L112" s="595">
        <f t="shared" si="8"/>
        <v>0</v>
      </c>
    </row>
    <row r="113" spans="1:12">
      <c r="A113" s="1437"/>
      <c r="B113" s="1438"/>
      <c r="C113" s="1438"/>
      <c r="D113" s="1438"/>
      <c r="E113" s="1438"/>
      <c r="F113" s="1438"/>
      <c r="G113" s="1438"/>
      <c r="H113" s="605"/>
      <c r="I113" s="606"/>
      <c r="J113" s="607"/>
      <c r="K113" s="608"/>
      <c r="L113" s="595">
        <f t="shared" si="8"/>
        <v>0</v>
      </c>
    </row>
    <row r="114" spans="1:12" ht="14.4">
      <c r="A114" s="1435" t="str">
        <f>'RRM Pricing Schedule'!A70&amp;" " &amp;'RRM Pricing Schedule'!B70</f>
        <v>35.03 Provision of Supervisory Staff and Equipment</v>
      </c>
      <c r="B114" s="1436"/>
      <c r="C114" s="1436"/>
      <c r="D114" s="1436"/>
      <c r="E114" s="1436"/>
      <c r="F114" s="1436"/>
      <c r="G114" s="1436"/>
      <c r="H114" s="591"/>
      <c r="I114" s="284"/>
      <c r="J114" s="592"/>
      <c r="K114" s="284"/>
      <c r="L114" s="593"/>
    </row>
    <row r="115" spans="1:12">
      <c r="A115" s="1435" t="str">
        <f>'RRM Pricing Schedule'!B71</f>
        <v>(a)   Site Supervision Staff</v>
      </c>
      <c r="B115" s="1436"/>
      <c r="C115" s="1436"/>
      <c r="D115" s="1436"/>
      <c r="E115" s="1436"/>
      <c r="F115" s="1436"/>
      <c r="G115" s="1436"/>
      <c r="H115" s="591">
        <f>'RRM Pricing Schedule'!F71</f>
        <v>10000000</v>
      </c>
      <c r="I115" s="284"/>
      <c r="J115" s="284"/>
      <c r="K115" s="594">
        <f>IF(H115=0,L115/100,(L115/H115))</f>
        <v>0</v>
      </c>
      <c r="L115" s="593">
        <f>SUM(L116:L122)</f>
        <v>0</v>
      </c>
    </row>
    <row r="116" spans="1:12">
      <c r="A116" s="1437"/>
      <c r="B116" s="1438"/>
      <c r="C116" s="1438"/>
      <c r="D116" s="1438"/>
      <c r="E116" s="1438"/>
      <c r="F116" s="1438"/>
      <c r="G116" s="1438"/>
      <c r="H116" s="605"/>
      <c r="I116" s="606"/>
      <c r="J116" s="607"/>
      <c r="K116" s="608"/>
      <c r="L116" s="595">
        <f>K116*J116</f>
        <v>0</v>
      </c>
    </row>
    <row r="117" spans="1:12">
      <c r="A117" s="1437"/>
      <c r="B117" s="1438"/>
      <c r="C117" s="1438"/>
      <c r="D117" s="1438"/>
      <c r="E117" s="1438"/>
      <c r="F117" s="1438"/>
      <c r="G117" s="1438"/>
      <c r="H117" s="605"/>
      <c r="I117" s="606"/>
      <c r="J117" s="607"/>
      <c r="K117" s="608"/>
      <c r="L117" s="595">
        <f t="shared" ref="L117:L122" si="9">K117*J117</f>
        <v>0</v>
      </c>
    </row>
    <row r="118" spans="1:12">
      <c r="A118" s="1437"/>
      <c r="B118" s="1438"/>
      <c r="C118" s="1438"/>
      <c r="D118" s="1438"/>
      <c r="E118" s="1438"/>
      <c r="F118" s="1438"/>
      <c r="G118" s="1438"/>
      <c r="H118" s="605"/>
      <c r="I118" s="606"/>
      <c r="J118" s="607"/>
      <c r="K118" s="608"/>
      <c r="L118" s="595">
        <f t="shared" si="9"/>
        <v>0</v>
      </c>
    </row>
    <row r="119" spans="1:12">
      <c r="A119" s="1437"/>
      <c r="B119" s="1438"/>
      <c r="C119" s="1438"/>
      <c r="D119" s="1438"/>
      <c r="E119" s="1438"/>
      <c r="F119" s="1438"/>
      <c r="G119" s="1438"/>
      <c r="H119" s="605"/>
      <c r="I119" s="606"/>
      <c r="J119" s="607"/>
      <c r="K119" s="608"/>
      <c r="L119" s="595">
        <f t="shared" si="9"/>
        <v>0</v>
      </c>
    </row>
    <row r="120" spans="1:12">
      <c r="A120" s="1437"/>
      <c r="B120" s="1438"/>
      <c r="C120" s="1438"/>
      <c r="D120" s="1438"/>
      <c r="E120" s="1438"/>
      <c r="F120" s="1438"/>
      <c r="G120" s="1438"/>
      <c r="H120" s="605"/>
      <c r="I120" s="606"/>
      <c r="J120" s="607"/>
      <c r="K120" s="608"/>
      <c r="L120" s="595">
        <f t="shared" si="9"/>
        <v>0</v>
      </c>
    </row>
    <row r="121" spans="1:12">
      <c r="A121" s="1437"/>
      <c r="B121" s="1438"/>
      <c r="C121" s="1438"/>
      <c r="D121" s="1438"/>
      <c r="E121" s="1438"/>
      <c r="F121" s="1438"/>
      <c r="G121" s="1438"/>
      <c r="H121" s="605"/>
      <c r="I121" s="606"/>
      <c r="J121" s="607"/>
      <c r="K121" s="608"/>
      <c r="L121" s="595">
        <f t="shared" si="9"/>
        <v>0</v>
      </c>
    </row>
    <row r="122" spans="1:12">
      <c r="A122" s="1437"/>
      <c r="B122" s="1438"/>
      <c r="C122" s="1438"/>
      <c r="D122" s="1438"/>
      <c r="E122" s="1438"/>
      <c r="F122" s="1438"/>
      <c r="G122" s="1438"/>
      <c r="H122" s="605"/>
      <c r="I122" s="606"/>
      <c r="J122" s="607"/>
      <c r="K122" s="608"/>
      <c r="L122" s="595">
        <f t="shared" si="9"/>
        <v>0</v>
      </c>
    </row>
    <row r="123" spans="1:12">
      <c r="A123" s="1435" t="str">
        <f>'RRM Pricing Schedule'!B73</f>
        <v>(c)   Project Liaison Officer</v>
      </c>
      <c r="B123" s="1436"/>
      <c r="C123" s="1436"/>
      <c r="D123" s="1436"/>
      <c r="E123" s="1436"/>
      <c r="F123" s="1436"/>
      <c r="G123" s="1436"/>
      <c r="H123" s="591">
        <f>'RRM Pricing Schedule'!F73</f>
        <v>1000000</v>
      </c>
      <c r="I123" s="284"/>
      <c r="J123" s="284"/>
      <c r="K123" s="594">
        <f>IF(H123=0,L123/100,(L123/H123))</f>
        <v>0</v>
      </c>
      <c r="L123" s="593">
        <f>SUM(L124:L130)</f>
        <v>0</v>
      </c>
    </row>
    <row r="124" spans="1:12">
      <c r="A124" s="1437"/>
      <c r="B124" s="1438"/>
      <c r="C124" s="1438"/>
      <c r="D124" s="1438"/>
      <c r="E124" s="1438"/>
      <c r="F124" s="1438"/>
      <c r="G124" s="1438"/>
      <c r="H124" s="605"/>
      <c r="I124" s="606"/>
      <c r="J124" s="607"/>
      <c r="K124" s="608"/>
      <c r="L124" s="595">
        <f>K124*J124</f>
        <v>0</v>
      </c>
    </row>
    <row r="125" spans="1:12">
      <c r="A125" s="1437"/>
      <c r="B125" s="1438"/>
      <c r="C125" s="1438"/>
      <c r="D125" s="1438"/>
      <c r="E125" s="1438"/>
      <c r="F125" s="1438"/>
      <c r="G125" s="1438"/>
      <c r="H125" s="605"/>
      <c r="I125" s="606"/>
      <c r="J125" s="607"/>
      <c r="K125" s="608"/>
      <c r="L125" s="595">
        <f t="shared" ref="L125:L130" si="10">K125*J125</f>
        <v>0</v>
      </c>
    </row>
    <row r="126" spans="1:12">
      <c r="A126" s="1437"/>
      <c r="B126" s="1438"/>
      <c r="C126" s="1438"/>
      <c r="D126" s="1438"/>
      <c r="E126" s="1438"/>
      <c r="F126" s="1438"/>
      <c r="G126" s="1438"/>
      <c r="H126" s="605"/>
      <c r="I126" s="606"/>
      <c r="J126" s="607"/>
      <c r="K126" s="608"/>
      <c r="L126" s="595">
        <f t="shared" si="10"/>
        <v>0</v>
      </c>
    </row>
    <row r="127" spans="1:12">
      <c r="A127" s="1437"/>
      <c r="B127" s="1438"/>
      <c r="C127" s="1438"/>
      <c r="D127" s="1438"/>
      <c r="E127" s="1438"/>
      <c r="F127" s="1438"/>
      <c r="G127" s="1438"/>
      <c r="H127" s="605"/>
      <c r="I127" s="606"/>
      <c r="J127" s="607"/>
      <c r="K127" s="608"/>
      <c r="L127" s="595">
        <f t="shared" si="10"/>
        <v>0</v>
      </c>
    </row>
    <row r="128" spans="1:12">
      <c r="A128" s="1437"/>
      <c r="B128" s="1438"/>
      <c r="C128" s="1438"/>
      <c r="D128" s="1438"/>
      <c r="E128" s="1438"/>
      <c r="F128" s="1438"/>
      <c r="G128" s="1438"/>
      <c r="H128" s="605"/>
      <c r="I128" s="606"/>
      <c r="J128" s="607"/>
      <c r="K128" s="608"/>
      <c r="L128" s="595">
        <f t="shared" si="10"/>
        <v>0</v>
      </c>
    </row>
    <row r="129" spans="1:12">
      <c r="A129" s="1437"/>
      <c r="B129" s="1438"/>
      <c r="C129" s="1438"/>
      <c r="D129" s="1438"/>
      <c r="E129" s="1438"/>
      <c r="F129" s="1438"/>
      <c r="G129" s="1438"/>
      <c r="H129" s="605"/>
      <c r="I129" s="606"/>
      <c r="J129" s="607"/>
      <c r="K129" s="608"/>
      <c r="L129" s="595">
        <f t="shared" si="10"/>
        <v>0</v>
      </c>
    </row>
    <row r="130" spans="1:12">
      <c r="A130" s="1437"/>
      <c r="B130" s="1438"/>
      <c r="C130" s="1438"/>
      <c r="D130" s="1438"/>
      <c r="E130" s="1438"/>
      <c r="F130" s="1438"/>
      <c r="G130" s="1438"/>
      <c r="H130" s="605"/>
      <c r="I130" s="606"/>
      <c r="J130" s="607"/>
      <c r="K130" s="608"/>
      <c r="L130" s="595">
        <f t="shared" si="10"/>
        <v>0</v>
      </c>
    </row>
    <row r="131" spans="1:12">
      <c r="A131" s="1435" t="str">
        <f>'RRM Pricing Schedule'!B75</f>
        <v>(e)   Accommodation</v>
      </c>
      <c r="B131" s="1436"/>
      <c r="C131" s="1436"/>
      <c r="D131" s="1436"/>
      <c r="E131" s="1436"/>
      <c r="F131" s="1436"/>
      <c r="G131" s="1436"/>
      <c r="H131" s="591">
        <f>'RRM Pricing Schedule'!E75</f>
        <v>2000000</v>
      </c>
      <c r="I131" s="284"/>
      <c r="J131" s="284"/>
      <c r="K131" s="594">
        <f>IF(H131=0,L131/100,(L131/H131))</f>
        <v>0</v>
      </c>
      <c r="L131" s="593">
        <f>SUM(L132:L138)</f>
        <v>0</v>
      </c>
    </row>
    <row r="132" spans="1:12">
      <c r="A132" s="1437"/>
      <c r="B132" s="1438"/>
      <c r="C132" s="1438"/>
      <c r="D132" s="1438"/>
      <c r="E132" s="1438"/>
      <c r="F132" s="1438"/>
      <c r="G132" s="1438"/>
      <c r="H132" s="605"/>
      <c r="I132" s="606"/>
      <c r="J132" s="607"/>
      <c r="K132" s="608"/>
      <c r="L132" s="595">
        <f>K132*J132</f>
        <v>0</v>
      </c>
    </row>
    <row r="133" spans="1:12">
      <c r="A133" s="1437"/>
      <c r="B133" s="1438"/>
      <c r="C133" s="1438"/>
      <c r="D133" s="1438"/>
      <c r="E133" s="1438"/>
      <c r="F133" s="1438"/>
      <c r="G133" s="1438"/>
      <c r="H133" s="605"/>
      <c r="I133" s="606"/>
      <c r="J133" s="607"/>
      <c r="K133" s="608"/>
      <c r="L133" s="595">
        <f t="shared" ref="L133:L138" si="11">K133*J133</f>
        <v>0</v>
      </c>
    </row>
    <row r="134" spans="1:12">
      <c r="A134" s="1437"/>
      <c r="B134" s="1438"/>
      <c r="C134" s="1438"/>
      <c r="D134" s="1438"/>
      <c r="E134" s="1438"/>
      <c r="F134" s="1438"/>
      <c r="G134" s="1438"/>
      <c r="H134" s="605"/>
      <c r="I134" s="606"/>
      <c r="J134" s="607"/>
      <c r="K134" s="608"/>
      <c r="L134" s="595">
        <f t="shared" si="11"/>
        <v>0</v>
      </c>
    </row>
    <row r="135" spans="1:12">
      <c r="A135" s="1437"/>
      <c r="B135" s="1438"/>
      <c r="C135" s="1438"/>
      <c r="D135" s="1438"/>
      <c r="E135" s="1438"/>
      <c r="F135" s="1438"/>
      <c r="G135" s="1438"/>
      <c r="H135" s="605"/>
      <c r="I135" s="606"/>
      <c r="J135" s="607"/>
      <c r="K135" s="608"/>
      <c r="L135" s="595">
        <f t="shared" si="11"/>
        <v>0</v>
      </c>
    </row>
    <row r="136" spans="1:12">
      <c r="A136" s="1437"/>
      <c r="B136" s="1438"/>
      <c r="C136" s="1438"/>
      <c r="D136" s="1438"/>
      <c r="E136" s="1438"/>
      <c r="F136" s="1438"/>
      <c r="G136" s="1438"/>
      <c r="H136" s="605"/>
      <c r="I136" s="606"/>
      <c r="J136" s="607"/>
      <c r="K136" s="608"/>
      <c r="L136" s="595">
        <f t="shared" si="11"/>
        <v>0</v>
      </c>
    </row>
    <row r="137" spans="1:12">
      <c r="A137" s="1437"/>
      <c r="B137" s="1438"/>
      <c r="C137" s="1438"/>
      <c r="D137" s="1438"/>
      <c r="E137" s="1438"/>
      <c r="F137" s="1438"/>
      <c r="G137" s="1438"/>
      <c r="H137" s="605"/>
      <c r="I137" s="606"/>
      <c r="J137" s="607"/>
      <c r="K137" s="608"/>
      <c r="L137" s="595">
        <f t="shared" si="11"/>
        <v>0</v>
      </c>
    </row>
    <row r="138" spans="1:12">
      <c r="A138" s="1437"/>
      <c r="B138" s="1438"/>
      <c r="C138" s="1438"/>
      <c r="D138" s="1438"/>
      <c r="E138" s="1438"/>
      <c r="F138" s="1438"/>
      <c r="G138" s="1438"/>
      <c r="H138" s="605"/>
      <c r="I138" s="606"/>
      <c r="J138" s="607"/>
      <c r="K138" s="608"/>
      <c r="L138" s="595">
        <f t="shared" si="11"/>
        <v>0</v>
      </c>
    </row>
    <row r="139" spans="1:12">
      <c r="A139" s="1435" t="str">
        <f>'RRM Pricing Schedule'!B78</f>
        <v>(h)   Trainee</v>
      </c>
      <c r="B139" s="1436"/>
      <c r="C139" s="1436"/>
      <c r="D139" s="1436"/>
      <c r="E139" s="1436"/>
      <c r="F139" s="1436"/>
      <c r="G139" s="1436"/>
      <c r="H139" s="591">
        <f>'RRM Pricing Schedule'!E78</f>
        <v>480000</v>
      </c>
      <c r="I139" s="284"/>
      <c r="J139" s="284"/>
      <c r="K139" s="594">
        <f>IF(H139=0,L139/100,(L139/H139))</f>
        <v>0</v>
      </c>
      <c r="L139" s="593">
        <f>SUM(L140:L146)</f>
        <v>0</v>
      </c>
    </row>
    <row r="140" spans="1:12">
      <c r="A140" s="1437"/>
      <c r="B140" s="1438"/>
      <c r="C140" s="1438"/>
      <c r="D140" s="1438"/>
      <c r="E140" s="1438"/>
      <c r="F140" s="1438"/>
      <c r="G140" s="1438"/>
      <c r="H140" s="605"/>
      <c r="I140" s="606"/>
      <c r="J140" s="607"/>
      <c r="K140" s="608"/>
      <c r="L140" s="595">
        <f>K140*J140</f>
        <v>0</v>
      </c>
    </row>
    <row r="141" spans="1:12">
      <c r="A141" s="1437"/>
      <c r="B141" s="1438"/>
      <c r="C141" s="1438"/>
      <c r="D141" s="1438"/>
      <c r="E141" s="1438"/>
      <c r="F141" s="1438"/>
      <c r="G141" s="1438"/>
      <c r="H141" s="605"/>
      <c r="I141" s="606"/>
      <c r="J141" s="607"/>
      <c r="K141" s="608"/>
      <c r="L141" s="595">
        <f t="shared" ref="L141:L146" si="12">K141*J141</f>
        <v>0</v>
      </c>
    </row>
    <row r="142" spans="1:12">
      <c r="A142" s="1437"/>
      <c r="B142" s="1438"/>
      <c r="C142" s="1438"/>
      <c r="D142" s="1438"/>
      <c r="E142" s="1438"/>
      <c r="F142" s="1438"/>
      <c r="G142" s="1438"/>
      <c r="H142" s="605"/>
      <c r="I142" s="606"/>
      <c r="J142" s="607"/>
      <c r="K142" s="608"/>
      <c r="L142" s="595">
        <f t="shared" si="12"/>
        <v>0</v>
      </c>
    </row>
    <row r="143" spans="1:12">
      <c r="A143" s="1437"/>
      <c r="B143" s="1438"/>
      <c r="C143" s="1438"/>
      <c r="D143" s="1438"/>
      <c r="E143" s="1438"/>
      <c r="F143" s="1438"/>
      <c r="G143" s="1438"/>
      <c r="H143" s="605"/>
      <c r="I143" s="606"/>
      <c r="J143" s="607"/>
      <c r="K143" s="608"/>
      <c r="L143" s="595">
        <f t="shared" si="12"/>
        <v>0</v>
      </c>
    </row>
    <row r="144" spans="1:12">
      <c r="A144" s="1437"/>
      <c r="B144" s="1438"/>
      <c r="C144" s="1438"/>
      <c r="D144" s="1438"/>
      <c r="E144" s="1438"/>
      <c r="F144" s="1438"/>
      <c r="G144" s="1438"/>
      <c r="H144" s="605"/>
      <c r="I144" s="606"/>
      <c r="J144" s="607"/>
      <c r="K144" s="608"/>
      <c r="L144" s="595">
        <f t="shared" si="12"/>
        <v>0</v>
      </c>
    </row>
    <row r="145" spans="1:12">
      <c r="A145" s="1437"/>
      <c r="B145" s="1438"/>
      <c r="C145" s="1438"/>
      <c r="D145" s="1438"/>
      <c r="E145" s="1438"/>
      <c r="F145" s="1438"/>
      <c r="G145" s="1438"/>
      <c r="H145" s="605"/>
      <c r="I145" s="606"/>
      <c r="J145" s="607"/>
      <c r="K145" s="608"/>
      <c r="L145" s="595">
        <f t="shared" si="12"/>
        <v>0</v>
      </c>
    </row>
    <row r="146" spans="1:12">
      <c r="A146" s="1437"/>
      <c r="B146" s="1438"/>
      <c r="C146" s="1438"/>
      <c r="D146" s="1438"/>
      <c r="E146" s="1438"/>
      <c r="F146" s="1438"/>
      <c r="G146" s="1438"/>
      <c r="H146" s="605"/>
      <c r="I146" s="606"/>
      <c r="J146" s="607"/>
      <c r="K146" s="608"/>
      <c r="L146" s="595">
        <f t="shared" si="12"/>
        <v>0</v>
      </c>
    </row>
    <row r="147" spans="1:12" ht="14.4">
      <c r="A147" s="1435" t="str">
        <f>'RRM Pricing Schedule'!A80&amp;" " &amp;'RRM Pricing Schedule'!B80</f>
        <v>35.04 Transport for site personnel and additional duties</v>
      </c>
      <c r="B147" s="1436"/>
      <c r="C147" s="1436"/>
      <c r="D147" s="1436"/>
      <c r="E147" s="1436"/>
      <c r="F147" s="1436"/>
      <c r="G147" s="1436"/>
      <c r="H147" s="591"/>
      <c r="I147" s="284"/>
      <c r="J147" s="592"/>
      <c r="K147" s="284"/>
      <c r="L147" s="593"/>
    </row>
    <row r="148" spans="1:12">
      <c r="A148" s="1435" t="str">
        <f>'RRM Pricing Schedule'!B81</f>
        <v>(a)   Travelling to perform duties</v>
      </c>
      <c r="B148" s="1436"/>
      <c r="C148" s="1436"/>
      <c r="D148" s="1436"/>
      <c r="E148" s="1436"/>
      <c r="F148" s="1436"/>
      <c r="G148" s="1436"/>
      <c r="H148" s="591">
        <f>'RRM Pricing Schedule'!F81</f>
        <v>3000000</v>
      </c>
      <c r="I148" s="284"/>
      <c r="J148" s="284"/>
      <c r="K148" s="594">
        <f>IF(H148=0,L148/100,(L148/H148))</f>
        <v>0</v>
      </c>
      <c r="L148" s="593">
        <f>SUM(L149:L166)</f>
        <v>0</v>
      </c>
    </row>
    <row r="149" spans="1:12">
      <c r="A149" s="1437"/>
      <c r="B149" s="1438"/>
      <c r="C149" s="1438"/>
      <c r="D149" s="1438"/>
      <c r="E149" s="1438"/>
      <c r="F149" s="1438"/>
      <c r="G149" s="1438"/>
      <c r="H149" s="605"/>
      <c r="I149" s="606"/>
      <c r="J149" s="607"/>
      <c r="K149" s="608"/>
      <c r="L149" s="595">
        <f t="shared" ref="L149:L166" si="13">K149*J149</f>
        <v>0</v>
      </c>
    </row>
    <row r="150" spans="1:12">
      <c r="A150" s="1437"/>
      <c r="B150" s="1438"/>
      <c r="C150" s="1438"/>
      <c r="D150" s="1438"/>
      <c r="E150" s="1438"/>
      <c r="F150" s="1438"/>
      <c r="G150" s="1438"/>
      <c r="H150" s="605"/>
      <c r="I150" s="606"/>
      <c r="J150" s="607"/>
      <c r="K150" s="608"/>
      <c r="L150" s="595">
        <f t="shared" si="13"/>
        <v>0</v>
      </c>
    </row>
    <row r="151" spans="1:12">
      <c r="A151" s="1437"/>
      <c r="B151" s="1438"/>
      <c r="C151" s="1438"/>
      <c r="D151" s="1438"/>
      <c r="E151" s="1438"/>
      <c r="F151" s="1438"/>
      <c r="G151" s="1438"/>
      <c r="H151" s="605"/>
      <c r="I151" s="606"/>
      <c r="J151" s="607"/>
      <c r="K151" s="608"/>
      <c r="L151" s="595">
        <f t="shared" si="13"/>
        <v>0</v>
      </c>
    </row>
    <row r="152" spans="1:12">
      <c r="A152" s="1437"/>
      <c r="B152" s="1438"/>
      <c r="C152" s="1438"/>
      <c r="D152" s="1438"/>
      <c r="E152" s="1438"/>
      <c r="F152" s="1438"/>
      <c r="G152" s="1438"/>
      <c r="H152" s="605"/>
      <c r="I152" s="606"/>
      <c r="J152" s="607"/>
      <c r="K152" s="608"/>
      <c r="L152" s="595">
        <f t="shared" si="13"/>
        <v>0</v>
      </c>
    </row>
    <row r="153" spans="1:12">
      <c r="A153" s="1437"/>
      <c r="B153" s="1438"/>
      <c r="C153" s="1438"/>
      <c r="D153" s="1438"/>
      <c r="E153" s="1438"/>
      <c r="F153" s="1438"/>
      <c r="G153" s="1438"/>
      <c r="H153" s="605"/>
      <c r="I153" s="606"/>
      <c r="J153" s="607"/>
      <c r="K153" s="608"/>
      <c r="L153" s="595">
        <f t="shared" si="13"/>
        <v>0</v>
      </c>
    </row>
    <row r="154" spans="1:12">
      <c r="A154" s="1437"/>
      <c r="B154" s="1438"/>
      <c r="C154" s="1438"/>
      <c r="D154" s="1438"/>
      <c r="E154" s="1438"/>
      <c r="F154" s="1438"/>
      <c r="G154" s="1438"/>
      <c r="H154" s="605"/>
      <c r="I154" s="606"/>
      <c r="J154" s="607"/>
      <c r="K154" s="608"/>
      <c r="L154" s="595">
        <f t="shared" si="13"/>
        <v>0</v>
      </c>
    </row>
    <row r="155" spans="1:12">
      <c r="A155" s="1437"/>
      <c r="B155" s="1438"/>
      <c r="C155" s="1438"/>
      <c r="D155" s="1438"/>
      <c r="E155" s="1438"/>
      <c r="F155" s="1438"/>
      <c r="G155" s="1438"/>
      <c r="H155" s="605"/>
      <c r="I155" s="606"/>
      <c r="J155" s="607"/>
      <c r="K155" s="608"/>
      <c r="L155" s="595">
        <f t="shared" si="13"/>
        <v>0</v>
      </c>
    </row>
    <row r="156" spans="1:12">
      <c r="A156" s="1437"/>
      <c r="B156" s="1438"/>
      <c r="C156" s="1438"/>
      <c r="D156" s="1438"/>
      <c r="E156" s="1438"/>
      <c r="F156" s="1438"/>
      <c r="G156" s="1438"/>
      <c r="H156" s="605"/>
      <c r="I156" s="606"/>
      <c r="J156" s="607"/>
      <c r="K156" s="608"/>
      <c r="L156" s="595">
        <f t="shared" si="13"/>
        <v>0</v>
      </c>
    </row>
    <row r="157" spans="1:12">
      <c r="A157" s="1437"/>
      <c r="B157" s="1438"/>
      <c r="C157" s="1438"/>
      <c r="D157" s="1438"/>
      <c r="E157" s="1438"/>
      <c r="F157" s="1438"/>
      <c r="G157" s="1438"/>
      <c r="H157" s="605"/>
      <c r="I157" s="606"/>
      <c r="J157" s="607"/>
      <c r="K157" s="608"/>
      <c r="L157" s="595">
        <f t="shared" si="13"/>
        <v>0</v>
      </c>
    </row>
    <row r="158" spans="1:12">
      <c r="A158" s="1437"/>
      <c r="B158" s="1438"/>
      <c r="C158" s="1438"/>
      <c r="D158" s="1438"/>
      <c r="E158" s="1438"/>
      <c r="F158" s="1438"/>
      <c r="G158" s="1438"/>
      <c r="H158" s="605"/>
      <c r="I158" s="606"/>
      <c r="J158" s="607"/>
      <c r="K158" s="608"/>
      <c r="L158" s="595">
        <f t="shared" si="13"/>
        <v>0</v>
      </c>
    </row>
    <row r="159" spans="1:12">
      <c r="A159" s="1437"/>
      <c r="B159" s="1438"/>
      <c r="C159" s="1438"/>
      <c r="D159" s="1438"/>
      <c r="E159" s="1438"/>
      <c r="F159" s="1438"/>
      <c r="G159" s="1438"/>
      <c r="H159" s="605"/>
      <c r="I159" s="606"/>
      <c r="J159" s="607"/>
      <c r="K159" s="608"/>
      <c r="L159" s="595">
        <f t="shared" si="13"/>
        <v>0</v>
      </c>
    </row>
    <row r="160" spans="1:12">
      <c r="A160" s="1437"/>
      <c r="B160" s="1438"/>
      <c r="C160" s="1438"/>
      <c r="D160" s="1438"/>
      <c r="E160" s="1438"/>
      <c r="F160" s="1438"/>
      <c r="G160" s="1438"/>
      <c r="H160" s="605"/>
      <c r="I160" s="606"/>
      <c r="J160" s="607"/>
      <c r="K160" s="608"/>
      <c r="L160" s="595">
        <f t="shared" si="13"/>
        <v>0</v>
      </c>
    </row>
    <row r="161" spans="1:12">
      <c r="A161" s="1437"/>
      <c r="B161" s="1438"/>
      <c r="C161" s="1438"/>
      <c r="D161" s="1438"/>
      <c r="E161" s="1438"/>
      <c r="F161" s="1438"/>
      <c r="G161" s="1438"/>
      <c r="H161" s="605"/>
      <c r="I161" s="606"/>
      <c r="J161" s="607"/>
      <c r="K161" s="608"/>
      <c r="L161" s="595">
        <f t="shared" si="13"/>
        <v>0</v>
      </c>
    </row>
    <row r="162" spans="1:12">
      <c r="A162" s="1437"/>
      <c r="B162" s="1438"/>
      <c r="C162" s="1438"/>
      <c r="D162" s="1438"/>
      <c r="E162" s="1438"/>
      <c r="F162" s="1438"/>
      <c r="G162" s="1438"/>
      <c r="H162" s="605"/>
      <c r="I162" s="606"/>
      <c r="J162" s="607"/>
      <c r="K162" s="608"/>
      <c r="L162" s="595">
        <f t="shared" si="13"/>
        <v>0</v>
      </c>
    </row>
    <row r="163" spans="1:12">
      <c r="A163" s="1437"/>
      <c r="B163" s="1438"/>
      <c r="C163" s="1438"/>
      <c r="D163" s="1438"/>
      <c r="E163" s="1438"/>
      <c r="F163" s="1438"/>
      <c r="G163" s="1438"/>
      <c r="H163" s="605"/>
      <c r="I163" s="606"/>
      <c r="J163" s="607"/>
      <c r="K163" s="608"/>
      <c r="L163" s="595">
        <f t="shared" si="13"/>
        <v>0</v>
      </c>
    </row>
    <row r="164" spans="1:12">
      <c r="A164" s="1437"/>
      <c r="B164" s="1438"/>
      <c r="C164" s="1438"/>
      <c r="D164" s="1438"/>
      <c r="E164" s="1438"/>
      <c r="F164" s="1438"/>
      <c r="G164" s="1438"/>
      <c r="H164" s="605"/>
      <c r="I164" s="606"/>
      <c r="J164" s="607"/>
      <c r="K164" s="608"/>
      <c r="L164" s="595">
        <f t="shared" si="13"/>
        <v>0</v>
      </c>
    </row>
    <row r="165" spans="1:12">
      <c r="A165" s="1437"/>
      <c r="B165" s="1438"/>
      <c r="C165" s="1438"/>
      <c r="D165" s="1438"/>
      <c r="E165" s="1438"/>
      <c r="F165" s="1438"/>
      <c r="G165" s="1438"/>
      <c r="H165" s="605"/>
      <c r="I165" s="606"/>
      <c r="J165" s="607"/>
      <c r="K165" s="608"/>
      <c r="L165" s="595">
        <f t="shared" si="13"/>
        <v>0</v>
      </c>
    </row>
    <row r="166" spans="1:12">
      <c r="A166" s="1437"/>
      <c r="B166" s="1438"/>
      <c r="C166" s="1438"/>
      <c r="D166" s="1438"/>
      <c r="E166" s="1438"/>
      <c r="F166" s="1438"/>
      <c r="G166" s="1438"/>
      <c r="H166" s="605"/>
      <c r="I166" s="606"/>
      <c r="J166" s="607"/>
      <c r="K166" s="608"/>
      <c r="L166" s="595">
        <f t="shared" si="13"/>
        <v>0</v>
      </c>
    </row>
    <row r="167" spans="1:12">
      <c r="A167" s="1435" t="str">
        <f>'RRM Pricing Schedule'!B83</f>
        <v>(c)   Toll fees</v>
      </c>
      <c r="B167" s="1436"/>
      <c r="C167" s="1436"/>
      <c r="D167" s="1436"/>
      <c r="E167" s="1436"/>
      <c r="F167" s="1436"/>
      <c r="G167" s="1436"/>
      <c r="H167" s="591">
        <f>'RRM Pricing Schedule'!E83</f>
        <v>50000</v>
      </c>
      <c r="I167" s="284"/>
      <c r="J167" s="284"/>
      <c r="K167" s="594">
        <f>IF(H167=0,L167/100,(L167/H167))</f>
        <v>0</v>
      </c>
      <c r="L167" s="593">
        <f>SUM(L168:L174)</f>
        <v>0</v>
      </c>
    </row>
    <row r="168" spans="1:12">
      <c r="A168" s="1437"/>
      <c r="B168" s="1438"/>
      <c r="C168" s="1438"/>
      <c r="D168" s="1438"/>
      <c r="E168" s="1438"/>
      <c r="F168" s="1438"/>
      <c r="G168" s="1438"/>
      <c r="H168" s="605"/>
      <c r="I168" s="606"/>
      <c r="J168" s="607"/>
      <c r="K168" s="608"/>
      <c r="L168" s="595">
        <f t="shared" ref="L168" si="14">K168*J168</f>
        <v>0</v>
      </c>
    </row>
    <row r="169" spans="1:12">
      <c r="A169" s="1437"/>
      <c r="B169" s="1438"/>
      <c r="C169" s="1438"/>
      <c r="D169" s="1438"/>
      <c r="E169" s="1438"/>
      <c r="F169" s="1438"/>
      <c r="G169" s="1438"/>
      <c r="H169" s="605"/>
      <c r="I169" s="606"/>
      <c r="J169" s="607"/>
      <c r="K169" s="608"/>
      <c r="L169" s="595">
        <f t="shared" ref="L169" si="15">K169*J169</f>
        <v>0</v>
      </c>
    </row>
    <row r="170" spans="1:12">
      <c r="A170" s="1437"/>
      <c r="B170" s="1438"/>
      <c r="C170" s="1438"/>
      <c r="D170" s="1438"/>
      <c r="E170" s="1438"/>
      <c r="F170" s="1438"/>
      <c r="G170" s="1438"/>
      <c r="H170" s="605"/>
      <c r="I170" s="606"/>
      <c r="J170" s="607"/>
      <c r="K170" s="608"/>
      <c r="L170" s="595">
        <f t="shared" ref="L170" si="16">K170*J170</f>
        <v>0</v>
      </c>
    </row>
    <row r="171" spans="1:12">
      <c r="A171" s="1437"/>
      <c r="B171" s="1438"/>
      <c r="C171" s="1438"/>
      <c r="D171" s="1438"/>
      <c r="E171" s="1438"/>
      <c r="F171" s="1438"/>
      <c r="G171" s="1438"/>
      <c r="H171" s="605"/>
      <c r="I171" s="606"/>
      <c r="J171" s="607"/>
      <c r="K171" s="608"/>
      <c r="L171" s="595">
        <f t="shared" ref="L171" si="17">K171*J171</f>
        <v>0</v>
      </c>
    </row>
    <row r="172" spans="1:12">
      <c r="A172" s="1437"/>
      <c r="B172" s="1438"/>
      <c r="C172" s="1438"/>
      <c r="D172" s="1438"/>
      <c r="E172" s="1438"/>
      <c r="F172" s="1438"/>
      <c r="G172" s="1438"/>
      <c r="H172" s="605"/>
      <c r="I172" s="606"/>
      <c r="J172" s="607"/>
      <c r="K172" s="608"/>
      <c r="L172" s="595">
        <f t="shared" ref="L172" si="18">K172*J172</f>
        <v>0</v>
      </c>
    </row>
    <row r="173" spans="1:12">
      <c r="A173" s="1437"/>
      <c r="B173" s="1438"/>
      <c r="C173" s="1438"/>
      <c r="D173" s="1438"/>
      <c r="E173" s="1438"/>
      <c r="F173" s="1438"/>
      <c r="G173" s="1438"/>
      <c r="H173" s="605"/>
      <c r="I173" s="606"/>
      <c r="J173" s="607"/>
      <c r="K173" s="608"/>
      <c r="L173" s="595">
        <f t="shared" ref="L173:L174" si="19">K173*J173</f>
        <v>0</v>
      </c>
    </row>
    <row r="174" spans="1:12" ht="13.8" thickBot="1">
      <c r="A174" s="1437"/>
      <c r="B174" s="1438"/>
      <c r="C174" s="1438"/>
      <c r="D174" s="1438"/>
      <c r="E174" s="1438"/>
      <c r="F174" s="1438"/>
      <c r="G174" s="1438"/>
      <c r="H174" s="605"/>
      <c r="I174" s="606"/>
      <c r="J174" s="607"/>
      <c r="K174" s="608"/>
      <c r="L174" s="595">
        <f t="shared" si="19"/>
        <v>0</v>
      </c>
    </row>
    <row r="175" spans="1:12">
      <c r="A175" s="1446"/>
      <c r="B175" s="1447"/>
      <c r="C175" s="1447"/>
      <c r="D175" s="1447"/>
      <c r="E175" s="1447"/>
      <c r="F175" s="1447"/>
      <c r="G175" s="1447"/>
      <c r="H175" s="1448"/>
      <c r="I175" s="596"/>
      <c r="J175" s="597" t="s">
        <v>196</v>
      </c>
      <c r="K175" s="598">
        <f>'3500'!A7</f>
        <v>3500</v>
      </c>
      <c r="L175" s="599">
        <f>L73+L81+L89+L97+L106+L115+L123+L131+L139+L148+L167</f>
        <v>0</v>
      </c>
    </row>
    <row r="176" spans="1:12" ht="13.8" thickBot="1">
      <c r="A176" s="1443"/>
      <c r="B176" s="1444"/>
      <c r="C176" s="1444"/>
      <c r="D176" s="1444"/>
      <c r="E176" s="1444"/>
      <c r="F176" s="1444"/>
      <c r="G176" s="1444"/>
      <c r="H176" s="1445"/>
      <c r="I176" s="600"/>
      <c r="J176" s="600"/>
      <c r="K176" s="601"/>
      <c r="L176" s="602"/>
    </row>
    <row r="177" spans="1:12" ht="13.8" thickBot="1">
      <c r="A177" s="1432" t="s">
        <v>449</v>
      </c>
      <c r="B177" s="1433"/>
      <c r="C177" s="1433"/>
      <c r="D177" s="1433"/>
      <c r="E177" s="1433"/>
      <c r="F177" s="1433"/>
      <c r="G177" s="1433"/>
      <c r="H177" s="1433"/>
      <c r="I177" s="1433"/>
      <c r="J177" s="1433"/>
      <c r="K177" s="1434"/>
      <c r="L177" s="604">
        <f>L70+L175</f>
        <v>0</v>
      </c>
    </row>
    <row r="178" spans="1:12" ht="15.6">
      <c r="L178" s="587" t="s">
        <v>253</v>
      </c>
    </row>
    <row r="179" spans="1:12" ht="15.6">
      <c r="L179" s="588"/>
    </row>
    <row r="180" spans="1:12">
      <c r="A180" s="1449" t="s">
        <v>248</v>
      </c>
      <c r="B180" s="1355"/>
      <c r="C180" s="276" t="str">
        <f>$C$3</f>
        <v>X.002-180-2024/1RF</v>
      </c>
      <c r="D180" s="98"/>
      <c r="E180" s="98"/>
      <c r="F180" s="1442">
        <f>$F$3</f>
        <v>46053</v>
      </c>
      <c r="G180" s="1442"/>
      <c r="H180" s="1408" t="s">
        <v>207</v>
      </c>
      <c r="I180" s="1408"/>
      <c r="J180" s="1408"/>
      <c r="K180" s="1409">
        <f>$K$3</f>
        <v>1</v>
      </c>
      <c r="L180" s="1357"/>
    </row>
    <row r="181" spans="1:12" ht="13.8" thickBot="1"/>
    <row r="182" spans="1:12">
      <c r="A182" s="193"/>
      <c r="B182" s="194"/>
      <c r="C182" s="194"/>
      <c r="D182" s="194"/>
      <c r="E182" s="194"/>
      <c r="F182" s="194"/>
      <c r="G182" s="194"/>
      <c r="H182" s="194"/>
      <c r="I182" s="194"/>
      <c r="J182" s="194"/>
      <c r="K182" s="194"/>
      <c r="L182" s="277"/>
    </row>
    <row r="183" spans="1:12" ht="13.8">
      <c r="A183" s="1349" t="s">
        <v>245</v>
      </c>
      <c r="B183" s="1350"/>
      <c r="C183" s="1350"/>
      <c r="D183" s="1350"/>
      <c r="E183" s="1350"/>
      <c r="F183" s="1350"/>
      <c r="G183" s="1350"/>
      <c r="H183" s="1350"/>
      <c r="I183" s="1350"/>
      <c r="J183" s="1350"/>
      <c r="K183" s="1350"/>
      <c r="L183" s="1351"/>
    </row>
    <row r="184" spans="1:12" ht="13.8" thickBot="1">
      <c r="A184" s="278"/>
      <c r="L184" s="279"/>
    </row>
    <row r="185" spans="1:12" ht="13.8" thickBot="1">
      <c r="A185" s="1439" t="s">
        <v>0</v>
      </c>
      <c r="B185" s="1440"/>
      <c r="C185" s="1440"/>
      <c r="D185" s="1440"/>
      <c r="E185" s="1440"/>
      <c r="F185" s="1440"/>
      <c r="G185" s="1440"/>
      <c r="H185" s="1441"/>
      <c r="I185" s="280" t="s">
        <v>1</v>
      </c>
      <c r="J185" s="280" t="s">
        <v>2</v>
      </c>
      <c r="K185" s="280" t="s">
        <v>3</v>
      </c>
      <c r="L185" s="281" t="s">
        <v>231</v>
      </c>
    </row>
    <row r="186" spans="1:12" ht="13.8" thickBot="1">
      <c r="A186" s="1432" t="s">
        <v>254</v>
      </c>
      <c r="B186" s="1433"/>
      <c r="C186" s="1433"/>
      <c r="D186" s="1433"/>
      <c r="E186" s="1433"/>
      <c r="F186" s="1433"/>
      <c r="G186" s="1433"/>
      <c r="H186" s="1433"/>
      <c r="I186" s="1433"/>
      <c r="J186" s="1433"/>
      <c r="K186" s="1434"/>
      <c r="L186" s="295">
        <f>L177</f>
        <v>0</v>
      </c>
    </row>
    <row r="187" spans="1:12">
      <c r="A187" s="1455" t="str">
        <f>'RRM Pricing Schedule'!A102&amp;" " &amp;'RRM Pricing Schedule'!B102</f>
        <v>3600 ADDITIONAL DUTIES</v>
      </c>
      <c r="B187" s="1456"/>
      <c r="C187" s="1456"/>
      <c r="D187" s="1456"/>
      <c r="E187" s="1456"/>
      <c r="F187" s="1456"/>
      <c r="G187" s="1456"/>
      <c r="H187" s="1456"/>
      <c r="I187" s="1456"/>
      <c r="J187" s="1456"/>
      <c r="K187" s="1368"/>
      <c r="L187" s="287"/>
    </row>
    <row r="188" spans="1:12" ht="14.4">
      <c r="A188" s="1435" t="str">
        <f>'RRM Pricing Schedule'!A103&amp;" " &amp;'RRM Pricing Schedule'!B103</f>
        <v>36.01 Additional duties by Service Provider</v>
      </c>
      <c r="B188" s="1436"/>
      <c r="C188" s="1436"/>
      <c r="D188" s="1436"/>
      <c r="E188" s="1436"/>
      <c r="F188" s="1436"/>
      <c r="G188" s="1436"/>
      <c r="H188" s="591"/>
      <c r="I188" s="284"/>
      <c r="J188" s="592"/>
      <c r="K188" s="284"/>
      <c r="L188" s="593"/>
    </row>
    <row r="189" spans="1:12">
      <c r="A189" s="1435" t="str">
        <f>'RRM Pricing Schedule'!B108</f>
        <v>(e)   Emergency</v>
      </c>
      <c r="B189" s="1436"/>
      <c r="C189" s="1436"/>
      <c r="D189" s="1436"/>
      <c r="E189" s="1436"/>
      <c r="F189" s="1436"/>
      <c r="G189" s="1436"/>
      <c r="H189" s="591">
        <f>'RRM Pricing Schedule'!F108</f>
        <v>200000</v>
      </c>
      <c r="I189" s="284"/>
      <c r="J189" s="284"/>
      <c r="K189" s="594">
        <f>IF(H189=0,L189/100,(L189/H189))</f>
        <v>0</v>
      </c>
      <c r="L189" s="593">
        <f>SUM(L190:L196)</f>
        <v>0</v>
      </c>
    </row>
    <row r="190" spans="1:12">
      <c r="A190" s="1437"/>
      <c r="B190" s="1438"/>
      <c r="C190" s="1438"/>
      <c r="D190" s="1438"/>
      <c r="E190" s="1438"/>
      <c r="F190" s="1438"/>
      <c r="G190" s="1438"/>
      <c r="H190" s="605"/>
      <c r="I190" s="606"/>
      <c r="J190" s="607"/>
      <c r="K190" s="608"/>
      <c r="L190" s="595">
        <f>K190*J190</f>
        <v>0</v>
      </c>
    </row>
    <row r="191" spans="1:12">
      <c r="A191" s="1437"/>
      <c r="B191" s="1438"/>
      <c r="C191" s="1438"/>
      <c r="D191" s="1438"/>
      <c r="E191" s="1438"/>
      <c r="F191" s="1438"/>
      <c r="G191" s="1438"/>
      <c r="H191" s="605"/>
      <c r="I191" s="606"/>
      <c r="J191" s="607"/>
      <c r="K191" s="608"/>
      <c r="L191" s="595">
        <f t="shared" ref="L191:L196" si="20">K191*J191</f>
        <v>0</v>
      </c>
    </row>
    <row r="192" spans="1:12">
      <c r="A192" s="1437"/>
      <c r="B192" s="1438"/>
      <c r="C192" s="1438"/>
      <c r="D192" s="1438"/>
      <c r="E192" s="1438"/>
      <c r="F192" s="1438"/>
      <c r="G192" s="1438"/>
      <c r="H192" s="605"/>
      <c r="I192" s="606"/>
      <c r="J192" s="607"/>
      <c r="K192" s="608"/>
      <c r="L192" s="595">
        <f t="shared" si="20"/>
        <v>0</v>
      </c>
    </row>
    <row r="193" spans="1:12">
      <c r="A193" s="1437"/>
      <c r="B193" s="1438"/>
      <c r="C193" s="1438"/>
      <c r="D193" s="1438"/>
      <c r="E193" s="1438"/>
      <c r="F193" s="1438"/>
      <c r="G193" s="1438"/>
      <c r="H193" s="605"/>
      <c r="I193" s="606"/>
      <c r="J193" s="607"/>
      <c r="K193" s="608"/>
      <c r="L193" s="595">
        <f t="shared" si="20"/>
        <v>0</v>
      </c>
    </row>
    <row r="194" spans="1:12">
      <c r="A194" s="1437"/>
      <c r="B194" s="1438"/>
      <c r="C194" s="1438"/>
      <c r="D194" s="1438"/>
      <c r="E194" s="1438"/>
      <c r="F194" s="1438"/>
      <c r="G194" s="1438"/>
      <c r="H194" s="605"/>
      <c r="I194" s="606"/>
      <c r="J194" s="607"/>
      <c r="K194" s="608"/>
      <c r="L194" s="595">
        <f t="shared" si="20"/>
        <v>0</v>
      </c>
    </row>
    <row r="195" spans="1:12">
      <c r="A195" s="1437"/>
      <c r="B195" s="1438"/>
      <c r="C195" s="1438"/>
      <c r="D195" s="1438"/>
      <c r="E195" s="1438"/>
      <c r="F195" s="1438"/>
      <c r="G195" s="1438"/>
      <c r="H195" s="605"/>
      <c r="I195" s="606"/>
      <c r="J195" s="607"/>
      <c r="K195" s="608"/>
      <c r="L195" s="595">
        <f t="shared" si="20"/>
        <v>0</v>
      </c>
    </row>
    <row r="196" spans="1:12">
      <c r="A196" s="1437"/>
      <c r="B196" s="1438"/>
      <c r="C196" s="1438"/>
      <c r="D196" s="1438"/>
      <c r="E196" s="1438"/>
      <c r="F196" s="1438"/>
      <c r="G196" s="1438"/>
      <c r="H196" s="605"/>
      <c r="I196" s="606"/>
      <c r="J196" s="607"/>
      <c r="K196" s="608"/>
      <c r="L196" s="595">
        <f t="shared" si="20"/>
        <v>0</v>
      </c>
    </row>
    <row r="197" spans="1:12" ht="14.4">
      <c r="A197" s="1435" t="str">
        <f>'RRM Pricing Schedule'!A110&amp;" " &amp;'RRM Pricing Schedule'!B110</f>
        <v>36.03 Disbursements</v>
      </c>
      <c r="B197" s="1436"/>
      <c r="C197" s="1436"/>
      <c r="D197" s="1436"/>
      <c r="E197" s="1436"/>
      <c r="F197" s="1436"/>
      <c r="G197" s="1436"/>
      <c r="H197" s="591"/>
      <c r="I197" s="284"/>
      <c r="J197" s="592"/>
      <c r="K197" s="284"/>
      <c r="L197" s="593"/>
    </row>
    <row r="198" spans="1:12">
      <c r="A198" s="1435" t="str">
        <f>'RRM Pricing Schedule'!B111</f>
        <v>(a)   Disbursements</v>
      </c>
      <c r="B198" s="1436"/>
      <c r="C198" s="1436"/>
      <c r="D198" s="1436"/>
      <c r="E198" s="1436"/>
      <c r="F198" s="1436"/>
      <c r="G198" s="1436"/>
      <c r="H198" s="591">
        <f>'RRM Pricing Schedule'!F111</f>
        <v>200000</v>
      </c>
      <c r="I198" s="284"/>
      <c r="J198" s="284"/>
      <c r="K198" s="594">
        <f>IF(H198=0,L198/100,(L198/H198))</f>
        <v>0</v>
      </c>
      <c r="L198" s="593">
        <f>SUM(L199:L205)</f>
        <v>0</v>
      </c>
    </row>
    <row r="199" spans="1:12">
      <c r="A199" s="1437"/>
      <c r="B199" s="1438"/>
      <c r="C199" s="1438"/>
      <c r="D199" s="1438"/>
      <c r="E199" s="1438"/>
      <c r="F199" s="1438"/>
      <c r="G199" s="1438"/>
      <c r="H199" s="605"/>
      <c r="I199" s="606"/>
      <c r="J199" s="607"/>
      <c r="K199" s="608"/>
      <c r="L199" s="595">
        <f>K199*J199</f>
        <v>0</v>
      </c>
    </row>
    <row r="200" spans="1:12">
      <c r="A200" s="1437"/>
      <c r="B200" s="1438"/>
      <c r="C200" s="1438"/>
      <c r="D200" s="1438"/>
      <c r="E200" s="1438"/>
      <c r="F200" s="1438"/>
      <c r="G200" s="1438"/>
      <c r="H200" s="605"/>
      <c r="I200" s="606"/>
      <c r="J200" s="607"/>
      <c r="K200" s="608"/>
      <c r="L200" s="595">
        <f t="shared" ref="L200:L205" si="21">K200*J200</f>
        <v>0</v>
      </c>
    </row>
    <row r="201" spans="1:12">
      <c r="A201" s="1437"/>
      <c r="B201" s="1438"/>
      <c r="C201" s="1438"/>
      <c r="D201" s="1438"/>
      <c r="E201" s="1438"/>
      <c r="F201" s="1438"/>
      <c r="G201" s="1438"/>
      <c r="H201" s="605"/>
      <c r="I201" s="606"/>
      <c r="J201" s="607"/>
      <c r="K201" s="608"/>
      <c r="L201" s="595">
        <f t="shared" si="21"/>
        <v>0</v>
      </c>
    </row>
    <row r="202" spans="1:12">
      <c r="A202" s="1437"/>
      <c r="B202" s="1438"/>
      <c r="C202" s="1438"/>
      <c r="D202" s="1438"/>
      <c r="E202" s="1438"/>
      <c r="F202" s="1438"/>
      <c r="G202" s="1438"/>
      <c r="H202" s="605"/>
      <c r="I202" s="606"/>
      <c r="J202" s="607"/>
      <c r="K202" s="608"/>
      <c r="L202" s="595">
        <f t="shared" si="21"/>
        <v>0</v>
      </c>
    </row>
    <row r="203" spans="1:12">
      <c r="A203" s="1437"/>
      <c r="B203" s="1438"/>
      <c r="C203" s="1438"/>
      <c r="D203" s="1438"/>
      <c r="E203" s="1438"/>
      <c r="F203" s="1438"/>
      <c r="G203" s="1438"/>
      <c r="H203" s="605"/>
      <c r="I203" s="606"/>
      <c r="J203" s="607"/>
      <c r="K203" s="608"/>
      <c r="L203" s="595">
        <f t="shared" si="21"/>
        <v>0</v>
      </c>
    </row>
    <row r="204" spans="1:12">
      <c r="A204" s="1437"/>
      <c r="B204" s="1438"/>
      <c r="C204" s="1438"/>
      <c r="D204" s="1438"/>
      <c r="E204" s="1438"/>
      <c r="F204" s="1438"/>
      <c r="G204" s="1438"/>
      <c r="H204" s="605"/>
      <c r="I204" s="606"/>
      <c r="J204" s="607"/>
      <c r="K204" s="608"/>
      <c r="L204" s="595">
        <f t="shared" si="21"/>
        <v>0</v>
      </c>
    </row>
    <row r="205" spans="1:12">
      <c r="A205" s="1437"/>
      <c r="B205" s="1438"/>
      <c r="C205" s="1438"/>
      <c r="D205" s="1438"/>
      <c r="E205" s="1438"/>
      <c r="F205" s="1438"/>
      <c r="G205" s="1438"/>
      <c r="H205" s="605"/>
      <c r="I205" s="606"/>
      <c r="J205" s="607"/>
      <c r="K205" s="608"/>
      <c r="L205" s="595">
        <f t="shared" si="21"/>
        <v>0</v>
      </c>
    </row>
    <row r="206" spans="1:12" ht="14.4">
      <c r="A206" s="1435" t="str">
        <f>'RRM Pricing Schedule'!A113&amp;" " &amp;'RRM Pricing Schedule'!B113</f>
        <v>36.04 Additional duties by sub-service provider</v>
      </c>
      <c r="B206" s="1436"/>
      <c r="C206" s="1436"/>
      <c r="D206" s="1436"/>
      <c r="E206" s="1436"/>
      <c r="F206" s="1436"/>
      <c r="G206" s="1436"/>
      <c r="H206" s="591"/>
      <c r="I206" s="284"/>
      <c r="J206" s="592"/>
      <c r="K206" s="284"/>
      <c r="L206" s="593"/>
    </row>
    <row r="207" spans="1:12">
      <c r="A207" s="1435" t="str">
        <f>'RRM Pricing Schedule'!B114</f>
        <v>(a)   Additional duties</v>
      </c>
      <c r="B207" s="1436"/>
      <c r="C207" s="1436"/>
      <c r="D207" s="1436"/>
      <c r="E207" s="1436"/>
      <c r="F207" s="1436"/>
      <c r="G207" s="1436"/>
      <c r="H207" s="591">
        <f>'RRM Pricing Schedule'!F114</f>
        <v>750000</v>
      </c>
      <c r="I207" s="284"/>
      <c r="J207" s="284"/>
      <c r="K207" s="594">
        <f>IF(H207=0,L207/100,(L207/H207))</f>
        <v>0</v>
      </c>
      <c r="L207" s="593">
        <f>SUM(L208:L214)</f>
        <v>0</v>
      </c>
    </row>
    <row r="208" spans="1:12">
      <c r="A208" s="1437"/>
      <c r="B208" s="1438"/>
      <c r="C208" s="1438"/>
      <c r="D208" s="1438"/>
      <c r="E208" s="1438"/>
      <c r="F208" s="1438"/>
      <c r="G208" s="1438"/>
      <c r="H208" s="605"/>
      <c r="I208" s="606"/>
      <c r="J208" s="607"/>
      <c r="K208" s="608"/>
      <c r="L208" s="595">
        <f>K208*J208</f>
        <v>0</v>
      </c>
    </row>
    <row r="209" spans="1:12">
      <c r="A209" s="1437"/>
      <c r="B209" s="1438"/>
      <c r="C209" s="1438"/>
      <c r="D209" s="1438"/>
      <c r="E209" s="1438"/>
      <c r="F209" s="1438"/>
      <c r="G209" s="1438"/>
      <c r="H209" s="605"/>
      <c r="I209" s="606"/>
      <c r="J209" s="607"/>
      <c r="K209" s="608"/>
      <c r="L209" s="595">
        <f t="shared" ref="L209:L214" si="22">K209*J209</f>
        <v>0</v>
      </c>
    </row>
    <row r="210" spans="1:12">
      <c r="A210" s="1437"/>
      <c r="B210" s="1438"/>
      <c r="C210" s="1438"/>
      <c r="D210" s="1438"/>
      <c r="E210" s="1438"/>
      <c r="F210" s="1438"/>
      <c r="G210" s="1438"/>
      <c r="H210" s="605"/>
      <c r="I210" s="606"/>
      <c r="J210" s="607"/>
      <c r="K210" s="608"/>
      <c r="L210" s="595">
        <f t="shared" si="22"/>
        <v>0</v>
      </c>
    </row>
    <row r="211" spans="1:12">
      <c r="A211" s="1437"/>
      <c r="B211" s="1438"/>
      <c r="C211" s="1438"/>
      <c r="D211" s="1438"/>
      <c r="E211" s="1438"/>
      <c r="F211" s="1438"/>
      <c r="G211" s="1438"/>
      <c r="H211" s="605"/>
      <c r="I211" s="606"/>
      <c r="J211" s="607"/>
      <c r="K211" s="608"/>
      <c r="L211" s="595">
        <f t="shared" si="22"/>
        <v>0</v>
      </c>
    </row>
    <row r="212" spans="1:12">
      <c r="A212" s="1437"/>
      <c r="B212" s="1438"/>
      <c r="C212" s="1438"/>
      <c r="D212" s="1438"/>
      <c r="E212" s="1438"/>
      <c r="F212" s="1438"/>
      <c r="G212" s="1438"/>
      <c r="H212" s="605"/>
      <c r="I212" s="606"/>
      <c r="J212" s="607"/>
      <c r="K212" s="608"/>
      <c r="L212" s="595">
        <f t="shared" si="22"/>
        <v>0</v>
      </c>
    </row>
    <row r="213" spans="1:12">
      <c r="A213" s="1437"/>
      <c r="B213" s="1438"/>
      <c r="C213" s="1438"/>
      <c r="D213" s="1438"/>
      <c r="E213" s="1438"/>
      <c r="F213" s="1438"/>
      <c r="G213" s="1438"/>
      <c r="H213" s="605"/>
      <c r="I213" s="606"/>
      <c r="J213" s="607"/>
      <c r="K213" s="608"/>
      <c r="L213" s="595">
        <f t="shared" si="22"/>
        <v>0</v>
      </c>
    </row>
    <row r="214" spans="1:12">
      <c r="A214" s="1437"/>
      <c r="B214" s="1438"/>
      <c r="C214" s="1438"/>
      <c r="D214" s="1438"/>
      <c r="E214" s="1438"/>
      <c r="F214" s="1438"/>
      <c r="G214" s="1438"/>
      <c r="H214" s="605"/>
      <c r="I214" s="606"/>
      <c r="J214" s="607"/>
      <c r="K214" s="608"/>
      <c r="L214" s="595">
        <f t="shared" si="22"/>
        <v>0</v>
      </c>
    </row>
    <row r="215" spans="1:12" ht="14.4">
      <c r="A215" s="1435" t="str">
        <f>'RRM Pricing Schedule'!A117&amp;" " &amp;'RRM Pricing Schedule'!B117</f>
        <v>36.06 Project Liaison Committee (PLC)</v>
      </c>
      <c r="B215" s="1436"/>
      <c r="C215" s="1436"/>
      <c r="D215" s="1436"/>
      <c r="E215" s="1436"/>
      <c r="F215" s="1436"/>
      <c r="G215" s="1436"/>
      <c r="H215" s="591"/>
      <c r="I215" s="284"/>
      <c r="J215" s="592"/>
      <c r="K215" s="284"/>
      <c r="L215" s="593"/>
    </row>
    <row r="216" spans="1:12">
      <c r="A216" s="1435" t="str">
        <f>'RRM Pricing Schedule'!B119</f>
        <v>(b)   Liaison/meetings with the PLC during Design and Construction Phase</v>
      </c>
      <c r="B216" s="1436"/>
      <c r="C216" s="1436"/>
      <c r="D216" s="1436"/>
      <c r="E216" s="1436"/>
      <c r="F216" s="1436"/>
      <c r="G216" s="1436"/>
      <c r="H216" s="591">
        <f>'RRM Pricing Schedule'!F119</f>
        <v>350000</v>
      </c>
      <c r="I216" s="284"/>
      <c r="J216" s="284"/>
      <c r="K216" s="594">
        <f>IF(H216=0,L216/100,(L216/H216))</f>
        <v>0</v>
      </c>
      <c r="L216" s="593">
        <f>SUM(L217:L223)</f>
        <v>0</v>
      </c>
    </row>
    <row r="217" spans="1:12">
      <c r="A217" s="1437"/>
      <c r="B217" s="1438"/>
      <c r="C217" s="1438"/>
      <c r="D217" s="1438"/>
      <c r="E217" s="1438"/>
      <c r="F217" s="1438"/>
      <c r="G217" s="1438"/>
      <c r="H217" s="605"/>
      <c r="I217" s="606"/>
      <c r="J217" s="607"/>
      <c r="K217" s="608"/>
      <c r="L217" s="595">
        <f>K217*J217</f>
        <v>0</v>
      </c>
    </row>
    <row r="218" spans="1:12">
      <c r="A218" s="1437"/>
      <c r="B218" s="1438"/>
      <c r="C218" s="1438"/>
      <c r="D218" s="1438"/>
      <c r="E218" s="1438"/>
      <c r="F218" s="1438"/>
      <c r="G218" s="1438"/>
      <c r="H218" s="605"/>
      <c r="I218" s="606"/>
      <c r="J218" s="607"/>
      <c r="K218" s="608"/>
      <c r="L218" s="595">
        <f t="shared" ref="L218:L223" si="23">K218*J218</f>
        <v>0</v>
      </c>
    </row>
    <row r="219" spans="1:12">
      <c r="A219" s="1437"/>
      <c r="B219" s="1438"/>
      <c r="C219" s="1438"/>
      <c r="D219" s="1438"/>
      <c r="E219" s="1438"/>
      <c r="F219" s="1438"/>
      <c r="G219" s="1438"/>
      <c r="H219" s="605"/>
      <c r="I219" s="606"/>
      <c r="J219" s="607"/>
      <c r="K219" s="608"/>
      <c r="L219" s="595">
        <f t="shared" si="23"/>
        <v>0</v>
      </c>
    </row>
    <row r="220" spans="1:12">
      <c r="A220" s="1437"/>
      <c r="B220" s="1438"/>
      <c r="C220" s="1438"/>
      <c r="D220" s="1438"/>
      <c r="E220" s="1438"/>
      <c r="F220" s="1438"/>
      <c r="G220" s="1438"/>
      <c r="H220" s="605"/>
      <c r="I220" s="606"/>
      <c r="J220" s="607"/>
      <c r="K220" s="608"/>
      <c r="L220" s="595">
        <f t="shared" si="23"/>
        <v>0</v>
      </c>
    </row>
    <row r="221" spans="1:12">
      <c r="A221" s="1437"/>
      <c r="B221" s="1438"/>
      <c r="C221" s="1438"/>
      <c r="D221" s="1438"/>
      <c r="E221" s="1438"/>
      <c r="F221" s="1438"/>
      <c r="G221" s="1438"/>
      <c r="H221" s="605"/>
      <c r="I221" s="606"/>
      <c r="J221" s="607"/>
      <c r="K221" s="608"/>
      <c r="L221" s="595">
        <f t="shared" si="23"/>
        <v>0</v>
      </c>
    </row>
    <row r="222" spans="1:12">
      <c r="A222" s="1437"/>
      <c r="B222" s="1438"/>
      <c r="C222" s="1438"/>
      <c r="D222" s="1438"/>
      <c r="E222" s="1438"/>
      <c r="F222" s="1438"/>
      <c r="G222" s="1438"/>
      <c r="H222" s="605"/>
      <c r="I222" s="606"/>
      <c r="J222" s="607"/>
      <c r="K222" s="608"/>
      <c r="L222" s="595">
        <f t="shared" si="23"/>
        <v>0</v>
      </c>
    </row>
    <row r="223" spans="1:12">
      <c r="A223" s="1437"/>
      <c r="B223" s="1438"/>
      <c r="C223" s="1438"/>
      <c r="D223" s="1438"/>
      <c r="E223" s="1438"/>
      <c r="F223" s="1438"/>
      <c r="G223" s="1438"/>
      <c r="H223" s="605"/>
      <c r="I223" s="606"/>
      <c r="J223" s="607"/>
      <c r="K223" s="608"/>
      <c r="L223" s="595">
        <f t="shared" si="23"/>
        <v>0</v>
      </c>
    </row>
    <row r="224" spans="1:12">
      <c r="A224" s="1435" t="str">
        <f>'RRM Pricing Schedule'!B120</f>
        <v>(c)   PLC stipend</v>
      </c>
      <c r="B224" s="1436"/>
      <c r="C224" s="1436"/>
      <c r="D224" s="1436"/>
      <c r="E224" s="1436"/>
      <c r="F224" s="1436"/>
      <c r="G224" s="1436"/>
      <c r="H224" s="591">
        <f>'RRM Pricing Schedule'!E120</f>
        <v>350000</v>
      </c>
      <c r="I224" s="284"/>
      <c r="J224" s="284"/>
      <c r="K224" s="594">
        <f>IF(H224=0,L224/100,(L224/H224))</f>
        <v>0</v>
      </c>
      <c r="L224" s="593">
        <f>SUM(L225:L231)</f>
        <v>0</v>
      </c>
    </row>
    <row r="225" spans="1:12">
      <c r="A225" s="1437"/>
      <c r="B225" s="1438"/>
      <c r="C225" s="1438"/>
      <c r="D225" s="1438"/>
      <c r="E225" s="1438"/>
      <c r="F225" s="1438"/>
      <c r="G225" s="1438"/>
      <c r="H225" s="605"/>
      <c r="I225" s="606"/>
      <c r="J225" s="607"/>
      <c r="K225" s="608"/>
      <c r="L225" s="595">
        <f>K225*J225</f>
        <v>0</v>
      </c>
    </row>
    <row r="226" spans="1:12">
      <c r="A226" s="1437"/>
      <c r="B226" s="1438"/>
      <c r="C226" s="1438"/>
      <c r="D226" s="1438"/>
      <c r="E226" s="1438"/>
      <c r="F226" s="1438"/>
      <c r="G226" s="1438"/>
      <c r="H226" s="605"/>
      <c r="I226" s="606"/>
      <c r="J226" s="607"/>
      <c r="K226" s="608"/>
      <c r="L226" s="595">
        <f t="shared" ref="L226:L231" si="24">K226*J226</f>
        <v>0</v>
      </c>
    </row>
    <row r="227" spans="1:12">
      <c r="A227" s="1437"/>
      <c r="B227" s="1438"/>
      <c r="C227" s="1438"/>
      <c r="D227" s="1438"/>
      <c r="E227" s="1438"/>
      <c r="F227" s="1438"/>
      <c r="G227" s="1438"/>
      <c r="H227" s="605"/>
      <c r="I227" s="606"/>
      <c r="J227" s="607"/>
      <c r="K227" s="608"/>
      <c r="L227" s="595">
        <f t="shared" si="24"/>
        <v>0</v>
      </c>
    </row>
    <row r="228" spans="1:12">
      <c r="A228" s="1437"/>
      <c r="B228" s="1438"/>
      <c r="C228" s="1438"/>
      <c r="D228" s="1438"/>
      <c r="E228" s="1438"/>
      <c r="F228" s="1438"/>
      <c r="G228" s="1438"/>
      <c r="H228" s="605"/>
      <c r="I228" s="606"/>
      <c r="J228" s="607"/>
      <c r="K228" s="608"/>
      <c r="L228" s="595">
        <f t="shared" si="24"/>
        <v>0</v>
      </c>
    </row>
    <row r="229" spans="1:12">
      <c r="A229" s="1437"/>
      <c r="B229" s="1438"/>
      <c r="C229" s="1438"/>
      <c r="D229" s="1438"/>
      <c r="E229" s="1438"/>
      <c r="F229" s="1438"/>
      <c r="G229" s="1438"/>
      <c r="H229" s="605"/>
      <c r="I229" s="606"/>
      <c r="J229" s="607"/>
      <c r="K229" s="608"/>
      <c r="L229" s="595">
        <f t="shared" si="24"/>
        <v>0</v>
      </c>
    </row>
    <row r="230" spans="1:12">
      <c r="A230" s="1437"/>
      <c r="B230" s="1438"/>
      <c r="C230" s="1438"/>
      <c r="D230" s="1438"/>
      <c r="E230" s="1438"/>
      <c r="F230" s="1438"/>
      <c r="G230" s="1438"/>
      <c r="H230" s="605"/>
      <c r="I230" s="606"/>
      <c r="J230" s="607"/>
      <c r="K230" s="608"/>
      <c r="L230" s="595">
        <f t="shared" si="24"/>
        <v>0</v>
      </c>
    </row>
    <row r="231" spans="1:12">
      <c r="A231" s="1437"/>
      <c r="B231" s="1438"/>
      <c r="C231" s="1438"/>
      <c r="D231" s="1438"/>
      <c r="E231" s="1438"/>
      <c r="F231" s="1438"/>
      <c r="G231" s="1438"/>
      <c r="H231" s="605"/>
      <c r="I231" s="606"/>
      <c r="J231" s="607"/>
      <c r="K231" s="608"/>
      <c r="L231" s="595">
        <f t="shared" si="24"/>
        <v>0</v>
      </c>
    </row>
    <row r="232" spans="1:12">
      <c r="A232" s="1435" t="str">
        <f>'RRM Pricing Schedule'!B122</f>
        <v>(e)  Training of PLC members</v>
      </c>
      <c r="B232" s="1436"/>
      <c r="C232" s="1436"/>
      <c r="D232" s="1436"/>
      <c r="E232" s="1436"/>
      <c r="F232" s="1436"/>
      <c r="G232" s="1436"/>
      <c r="H232" s="591">
        <f>'RRM Pricing Schedule'!E122</f>
        <v>250000</v>
      </c>
      <c r="I232" s="284"/>
      <c r="J232" s="284"/>
      <c r="K232" s="594">
        <f>IF(H232=0,L232/100,(L232/H232))</f>
        <v>0</v>
      </c>
      <c r="L232" s="593">
        <f>SUM(L233:L239)</f>
        <v>0</v>
      </c>
    </row>
    <row r="233" spans="1:12">
      <c r="A233" s="1437"/>
      <c r="B233" s="1438"/>
      <c r="C233" s="1438"/>
      <c r="D233" s="1438"/>
      <c r="E233" s="1438"/>
      <c r="F233" s="1438"/>
      <c r="G233" s="1438"/>
      <c r="H233" s="605"/>
      <c r="I233" s="606"/>
      <c r="J233" s="607"/>
      <c r="K233" s="608"/>
      <c r="L233" s="595">
        <f>K233*J233</f>
        <v>0</v>
      </c>
    </row>
    <row r="234" spans="1:12">
      <c r="A234" s="1437"/>
      <c r="B234" s="1438"/>
      <c r="C234" s="1438"/>
      <c r="D234" s="1438"/>
      <c r="E234" s="1438"/>
      <c r="F234" s="1438"/>
      <c r="G234" s="1438"/>
      <c r="H234" s="605"/>
      <c r="I234" s="606"/>
      <c r="J234" s="607"/>
      <c r="K234" s="608"/>
      <c r="L234" s="595">
        <f t="shared" ref="L234:L239" si="25">K234*J234</f>
        <v>0</v>
      </c>
    </row>
    <row r="235" spans="1:12">
      <c r="A235" s="1437"/>
      <c r="B235" s="1438"/>
      <c r="C235" s="1438"/>
      <c r="D235" s="1438"/>
      <c r="E235" s="1438"/>
      <c r="F235" s="1438"/>
      <c r="G235" s="1438"/>
      <c r="H235" s="605"/>
      <c r="I235" s="606"/>
      <c r="J235" s="607"/>
      <c r="K235" s="608"/>
      <c r="L235" s="595">
        <f t="shared" si="25"/>
        <v>0</v>
      </c>
    </row>
    <row r="236" spans="1:12">
      <c r="A236" s="1437"/>
      <c r="B236" s="1438"/>
      <c r="C236" s="1438"/>
      <c r="D236" s="1438"/>
      <c r="E236" s="1438"/>
      <c r="F236" s="1438"/>
      <c r="G236" s="1438"/>
      <c r="H236" s="605"/>
      <c r="I236" s="606"/>
      <c r="J236" s="607"/>
      <c r="K236" s="608"/>
      <c r="L236" s="595">
        <f t="shared" si="25"/>
        <v>0</v>
      </c>
    </row>
    <row r="237" spans="1:12">
      <c r="A237" s="1437"/>
      <c r="B237" s="1438"/>
      <c r="C237" s="1438"/>
      <c r="D237" s="1438"/>
      <c r="E237" s="1438"/>
      <c r="F237" s="1438"/>
      <c r="G237" s="1438"/>
      <c r="H237" s="605"/>
      <c r="I237" s="606"/>
      <c r="J237" s="607"/>
      <c r="K237" s="608"/>
      <c r="L237" s="595">
        <f t="shared" si="25"/>
        <v>0</v>
      </c>
    </row>
    <row r="238" spans="1:12">
      <c r="A238" s="1437"/>
      <c r="B238" s="1438"/>
      <c r="C238" s="1438"/>
      <c r="D238" s="1438"/>
      <c r="E238" s="1438"/>
      <c r="F238" s="1438"/>
      <c r="G238" s="1438"/>
      <c r="H238" s="605"/>
      <c r="I238" s="606"/>
      <c r="J238" s="607"/>
      <c r="K238" s="608"/>
      <c r="L238" s="595">
        <f t="shared" si="25"/>
        <v>0</v>
      </c>
    </row>
    <row r="239" spans="1:12" ht="13.8" thickBot="1">
      <c r="A239" s="1437"/>
      <c r="B239" s="1438"/>
      <c r="C239" s="1438"/>
      <c r="D239" s="1438"/>
      <c r="E239" s="1438"/>
      <c r="F239" s="1438"/>
      <c r="G239" s="1438"/>
      <c r="H239" s="605"/>
      <c r="I239" s="606"/>
      <c r="J239" s="607"/>
      <c r="K239" s="608"/>
      <c r="L239" s="595">
        <f t="shared" si="25"/>
        <v>0</v>
      </c>
    </row>
    <row r="240" spans="1:12">
      <c r="A240" s="1446"/>
      <c r="B240" s="1447"/>
      <c r="C240" s="1447"/>
      <c r="D240" s="1447"/>
      <c r="E240" s="1447"/>
      <c r="F240" s="1447"/>
      <c r="G240" s="1447"/>
      <c r="H240" s="1448"/>
      <c r="I240" s="596"/>
      <c r="J240" s="597" t="s">
        <v>196</v>
      </c>
      <c r="K240" s="598">
        <f>'3600'!A7</f>
        <v>3600</v>
      </c>
      <c r="L240" s="599">
        <f>L198+L207+L216+L224+L232+L189</f>
        <v>0</v>
      </c>
    </row>
    <row r="241" spans="1:12" ht="13.8" thickBot="1">
      <c r="A241" s="1443"/>
      <c r="B241" s="1444"/>
      <c r="C241" s="1444"/>
      <c r="D241" s="1444"/>
      <c r="E241" s="1444"/>
      <c r="F241" s="1444"/>
      <c r="G241" s="1444"/>
      <c r="H241" s="1445"/>
      <c r="I241" s="600"/>
      <c r="J241" s="600"/>
      <c r="K241" s="601"/>
      <c r="L241" s="602"/>
    </row>
    <row r="242" spans="1:12" ht="18.75" customHeight="1" thickBot="1">
      <c r="A242" s="1432" t="s">
        <v>450</v>
      </c>
      <c r="B242" s="1433"/>
      <c r="C242" s="1433"/>
      <c r="D242" s="1433"/>
      <c r="E242" s="1433"/>
      <c r="F242" s="1433"/>
      <c r="G242" s="1433"/>
      <c r="H242" s="1433"/>
      <c r="I242" s="1433"/>
      <c r="J242" s="1433"/>
      <c r="K242" s="1434"/>
      <c r="L242" s="604">
        <f>L240+L186</f>
        <v>0</v>
      </c>
    </row>
    <row r="243" spans="1:12" ht="15.6">
      <c r="L243" s="587" t="s">
        <v>451</v>
      </c>
    </row>
    <row r="244" spans="1:12" ht="8.25" customHeight="1">
      <c r="L244" s="588"/>
    </row>
    <row r="245" spans="1:12" ht="15.75" customHeight="1">
      <c r="A245" s="1449" t="s">
        <v>248</v>
      </c>
      <c r="B245" s="1355"/>
      <c r="C245" s="276" t="str">
        <f>$C$3</f>
        <v>X.002-180-2024/1RF</v>
      </c>
      <c r="D245" s="98"/>
      <c r="E245" s="98"/>
      <c r="F245" s="1442">
        <f>$F$3</f>
        <v>46053</v>
      </c>
      <c r="G245" s="1442"/>
      <c r="H245" s="1408" t="s">
        <v>207</v>
      </c>
      <c r="I245" s="1408"/>
      <c r="J245" s="1408"/>
      <c r="K245" s="1409">
        <f>$K$3</f>
        <v>1</v>
      </c>
      <c r="L245" s="1357"/>
    </row>
    <row r="246" spans="1:12" ht="15.75" customHeight="1" thickBot="1"/>
    <row r="247" spans="1:12" ht="15.75" customHeight="1">
      <c r="A247" s="193"/>
      <c r="B247" s="194"/>
      <c r="C247" s="194"/>
      <c r="D247" s="194"/>
      <c r="E247" s="194"/>
      <c r="F247" s="194"/>
      <c r="G247" s="194"/>
      <c r="H247" s="194"/>
      <c r="I247" s="194"/>
      <c r="J247" s="194"/>
      <c r="K247" s="194"/>
      <c r="L247" s="277"/>
    </row>
    <row r="248" spans="1:12" ht="15.75" customHeight="1">
      <c r="A248" s="1349" t="s">
        <v>245</v>
      </c>
      <c r="B248" s="1350"/>
      <c r="C248" s="1350"/>
      <c r="D248" s="1350"/>
      <c r="E248" s="1350"/>
      <c r="F248" s="1350"/>
      <c r="G248" s="1350"/>
      <c r="H248" s="1350"/>
      <c r="I248" s="1350"/>
      <c r="J248" s="1350"/>
      <c r="K248" s="1350"/>
      <c r="L248" s="1351"/>
    </row>
    <row r="249" spans="1:12" ht="15.75" customHeight="1" thickBot="1">
      <c r="A249" s="278"/>
      <c r="L249" s="279"/>
    </row>
    <row r="250" spans="1:12" ht="15.75" customHeight="1" thickBot="1">
      <c r="A250" s="1439" t="s">
        <v>0</v>
      </c>
      <c r="B250" s="1440"/>
      <c r="C250" s="1440"/>
      <c r="D250" s="1440"/>
      <c r="E250" s="1440"/>
      <c r="F250" s="1440"/>
      <c r="G250" s="1440"/>
      <c r="H250" s="1441"/>
      <c r="I250" s="280" t="s">
        <v>1</v>
      </c>
      <c r="J250" s="280" t="s">
        <v>2</v>
      </c>
      <c r="K250" s="280" t="s">
        <v>3</v>
      </c>
      <c r="L250" s="281" t="s">
        <v>231</v>
      </c>
    </row>
    <row r="251" spans="1:12" ht="12.75" customHeight="1" thickBot="1">
      <c r="A251" s="1432" t="s">
        <v>452</v>
      </c>
      <c r="B251" s="1433"/>
      <c r="C251" s="1433"/>
      <c r="D251" s="1433"/>
      <c r="E251" s="1433"/>
      <c r="F251" s="1433"/>
      <c r="G251" s="1433"/>
      <c r="H251" s="1433"/>
      <c r="I251" s="1433"/>
      <c r="J251" s="1433"/>
      <c r="K251" s="1434"/>
      <c r="L251" s="295">
        <f>L242</f>
        <v>0</v>
      </c>
    </row>
    <row r="252" spans="1:12">
      <c r="A252" s="1455" t="str">
        <f>'RRM Pricing Schedule'!A131&amp;" " &amp;'RRM Pricing Schedule'!B131</f>
        <v>3700 OFF-SITE MATERIALS TESTING</v>
      </c>
      <c r="B252" s="1456"/>
      <c r="C252" s="1456"/>
      <c r="D252" s="1456"/>
      <c r="E252" s="1456"/>
      <c r="F252" s="1456"/>
      <c r="G252" s="1456"/>
      <c r="H252" s="1456"/>
      <c r="I252" s="1456"/>
      <c r="J252" s="1456"/>
      <c r="K252" s="1368"/>
      <c r="L252" s="287"/>
    </row>
    <row r="253" spans="1:12" ht="14.4">
      <c r="A253" s="1435" t="str">
        <f>'RRM Pricing Schedule'!A132&amp;" " &amp;'RRM Pricing Schedule'!B132</f>
        <v>37.01 Off-site materials testing</v>
      </c>
      <c r="B253" s="1436"/>
      <c r="C253" s="1436"/>
      <c r="D253" s="1436"/>
      <c r="E253" s="1436"/>
      <c r="F253" s="1436"/>
      <c r="G253" s="1436"/>
      <c r="H253" s="591"/>
      <c r="I253" s="284"/>
      <c r="J253" s="592"/>
      <c r="K253" s="284"/>
      <c r="L253" s="593"/>
    </row>
    <row r="254" spans="1:12">
      <c r="A254" s="1435" t="str">
        <f>'RRM Pricing Schedule'!B133</f>
        <v>(a)   Off-site testing by an external SANAS accredited laboratory</v>
      </c>
      <c r="B254" s="1436"/>
      <c r="C254" s="1436"/>
      <c r="D254" s="1436"/>
      <c r="E254" s="1436"/>
      <c r="F254" s="1436"/>
      <c r="G254" s="1436"/>
      <c r="H254" s="591">
        <f>'RRM Pricing Schedule'!F133</f>
        <v>200000</v>
      </c>
      <c r="I254" s="284"/>
      <c r="J254" s="284"/>
      <c r="K254" s="594">
        <f>IF(H254=0,L254/100,(L254/H254))</f>
        <v>0</v>
      </c>
      <c r="L254" s="593">
        <f>SUM(L255:L261)</f>
        <v>0</v>
      </c>
    </row>
    <row r="255" spans="1:12">
      <c r="A255" s="1437"/>
      <c r="B255" s="1438"/>
      <c r="C255" s="1438"/>
      <c r="D255" s="1438"/>
      <c r="E255" s="1438"/>
      <c r="F255" s="1438"/>
      <c r="G255" s="1438"/>
      <c r="H255" s="605"/>
      <c r="I255" s="606"/>
      <c r="J255" s="607"/>
      <c r="K255" s="608"/>
      <c r="L255" s="595">
        <f>K255*J255</f>
        <v>0</v>
      </c>
    </row>
    <row r="256" spans="1:12">
      <c r="A256" s="1437"/>
      <c r="B256" s="1438"/>
      <c r="C256" s="1438"/>
      <c r="D256" s="1438"/>
      <c r="E256" s="1438"/>
      <c r="F256" s="1438"/>
      <c r="G256" s="1438"/>
      <c r="H256" s="605"/>
      <c r="I256" s="606"/>
      <c r="J256" s="607"/>
      <c r="K256" s="608"/>
      <c r="L256" s="595">
        <f t="shared" ref="L256:L261" si="26">K256*J256</f>
        <v>0</v>
      </c>
    </row>
    <row r="257" spans="1:12">
      <c r="A257" s="1437"/>
      <c r="B257" s="1438"/>
      <c r="C257" s="1438"/>
      <c r="D257" s="1438"/>
      <c r="E257" s="1438"/>
      <c r="F257" s="1438"/>
      <c r="G257" s="1438"/>
      <c r="H257" s="605"/>
      <c r="I257" s="606"/>
      <c r="J257" s="607"/>
      <c r="K257" s="608"/>
      <c r="L257" s="595">
        <f t="shared" si="26"/>
        <v>0</v>
      </c>
    </row>
    <row r="258" spans="1:12">
      <c r="A258" s="1437"/>
      <c r="B258" s="1438"/>
      <c r="C258" s="1438"/>
      <c r="D258" s="1438"/>
      <c r="E258" s="1438"/>
      <c r="F258" s="1438"/>
      <c r="G258" s="1438"/>
      <c r="H258" s="605"/>
      <c r="I258" s="606"/>
      <c r="J258" s="607"/>
      <c r="K258" s="608"/>
      <c r="L258" s="595">
        <f t="shared" si="26"/>
        <v>0</v>
      </c>
    </row>
    <row r="259" spans="1:12">
      <c r="A259" s="1437"/>
      <c r="B259" s="1438"/>
      <c r="C259" s="1438"/>
      <c r="D259" s="1438"/>
      <c r="E259" s="1438"/>
      <c r="F259" s="1438"/>
      <c r="G259" s="1438"/>
      <c r="H259" s="605"/>
      <c r="I259" s="606"/>
      <c r="J259" s="607"/>
      <c r="K259" s="608"/>
      <c r="L259" s="595">
        <f t="shared" si="26"/>
        <v>0</v>
      </c>
    </row>
    <row r="260" spans="1:12">
      <c r="A260" s="1437"/>
      <c r="B260" s="1438"/>
      <c r="C260" s="1438"/>
      <c r="D260" s="1438"/>
      <c r="E260" s="1438"/>
      <c r="F260" s="1438"/>
      <c r="G260" s="1438"/>
      <c r="H260" s="605"/>
      <c r="I260" s="606"/>
      <c r="J260" s="607"/>
      <c r="K260" s="608"/>
      <c r="L260" s="595">
        <f t="shared" si="26"/>
        <v>0</v>
      </c>
    </row>
    <row r="261" spans="1:12" ht="13.8" thickBot="1">
      <c r="A261" s="1437"/>
      <c r="B261" s="1438"/>
      <c r="C261" s="1438"/>
      <c r="D261" s="1438"/>
      <c r="E261" s="1438"/>
      <c r="F261" s="1438"/>
      <c r="G261" s="1438"/>
      <c r="H261" s="605"/>
      <c r="I261" s="606"/>
      <c r="J261" s="607"/>
      <c r="K261" s="608"/>
      <c r="L261" s="595">
        <f t="shared" si="26"/>
        <v>0</v>
      </c>
    </row>
    <row r="262" spans="1:12" ht="13.8" thickBot="1">
      <c r="A262" s="1457"/>
      <c r="B262" s="1458"/>
      <c r="C262" s="1458"/>
      <c r="D262" s="1458"/>
      <c r="E262" s="1458"/>
      <c r="F262" s="1458"/>
      <c r="G262" s="1458"/>
      <c r="H262" s="1459"/>
      <c r="I262" s="736"/>
      <c r="J262" s="737" t="s">
        <v>196</v>
      </c>
      <c r="K262" s="738">
        <f>'3700'!A7</f>
        <v>3700</v>
      </c>
      <c r="L262" s="739">
        <f>L254</f>
        <v>0</v>
      </c>
    </row>
    <row r="263" spans="1:12" ht="13.8" thickBot="1">
      <c r="A263" s="1460"/>
      <c r="B263" s="1461"/>
      <c r="C263" s="1461"/>
      <c r="D263" s="1461"/>
      <c r="E263" s="1461"/>
      <c r="F263" s="1461"/>
      <c r="G263" s="1461"/>
      <c r="H263" s="1461"/>
      <c r="I263" s="342"/>
      <c r="J263" s="342"/>
      <c r="K263" s="740"/>
      <c r="L263" s="741"/>
    </row>
    <row r="264" spans="1:12">
      <c r="A264" s="1452" t="s">
        <v>255</v>
      </c>
      <c r="B264" s="1453"/>
      <c r="C264" s="1453"/>
      <c r="D264" s="1453"/>
      <c r="E264" s="1453"/>
      <c r="F264" s="1453"/>
      <c r="G264" s="1453"/>
      <c r="H264" s="1454"/>
      <c r="I264" s="296"/>
      <c r="J264" s="296"/>
      <c r="K264" s="296"/>
      <c r="L264" s="735">
        <f>L37+L59</f>
        <v>0</v>
      </c>
    </row>
    <row r="265" spans="1:12" ht="13.8" thickBot="1">
      <c r="A265" s="1452" t="s">
        <v>256</v>
      </c>
      <c r="B265" s="1453"/>
      <c r="C265" s="1453"/>
      <c r="D265" s="1453"/>
      <c r="E265" s="1453"/>
      <c r="F265" s="1453"/>
      <c r="G265" s="1453"/>
      <c r="H265" s="1454"/>
      <c r="I265" s="284"/>
      <c r="J265" s="284"/>
      <c r="K265" s="520"/>
      <c r="L265" s="290">
        <f>L175+L240+L262</f>
        <v>0</v>
      </c>
    </row>
    <row r="266" spans="1:12" ht="18.75" customHeight="1" thickBot="1">
      <c r="A266" s="1432" t="s">
        <v>257</v>
      </c>
      <c r="B266" s="1433"/>
      <c r="C266" s="1433"/>
      <c r="D266" s="1433"/>
      <c r="E266" s="1433"/>
      <c r="F266" s="1433"/>
      <c r="G266" s="1433"/>
      <c r="H266" s="1433"/>
      <c r="I266" s="1433"/>
      <c r="J266" s="1433"/>
      <c r="K266" s="1434"/>
      <c r="L266" s="603">
        <f>SUM(L264:L265)</f>
        <v>0</v>
      </c>
    </row>
  </sheetData>
  <mergeCells count="256">
    <mergeCell ref="A189:G189"/>
    <mergeCell ref="A190:G190"/>
    <mergeCell ref="A191:G191"/>
    <mergeCell ref="A192:G192"/>
    <mergeCell ref="A193:G193"/>
    <mergeCell ref="A194:G194"/>
    <mergeCell ref="A195:G195"/>
    <mergeCell ref="A196:G196"/>
    <mergeCell ref="A197:G197"/>
    <mergeCell ref="A248:L248"/>
    <mergeCell ref="K180:L180"/>
    <mergeCell ref="A78:G78"/>
    <mergeCell ref="A79:G79"/>
    <mergeCell ref="A80:G80"/>
    <mergeCell ref="A81:G81"/>
    <mergeCell ref="A82:G82"/>
    <mergeCell ref="A83:G83"/>
    <mergeCell ref="A84:G84"/>
    <mergeCell ref="A85:G85"/>
    <mergeCell ref="A86:G86"/>
    <mergeCell ref="A111:G111"/>
    <mergeCell ref="A112:G112"/>
    <mergeCell ref="A113:G113"/>
    <mergeCell ref="A147:G147"/>
    <mergeCell ref="A127:G127"/>
    <mergeCell ref="A128:G128"/>
    <mergeCell ref="A129:G129"/>
    <mergeCell ref="A130:G130"/>
    <mergeCell ref="A115:G115"/>
    <mergeCell ref="K245:L245"/>
    <mergeCell ref="A175:H175"/>
    <mergeCell ref="A176:H176"/>
    <mergeCell ref="A240:H240"/>
    <mergeCell ref="A251:K251"/>
    <mergeCell ref="A262:H262"/>
    <mergeCell ref="A263:H263"/>
    <mergeCell ref="A252:K252"/>
    <mergeCell ref="A253:G253"/>
    <mergeCell ref="A254:G254"/>
    <mergeCell ref="A255:G255"/>
    <mergeCell ref="A256:G256"/>
    <mergeCell ref="A257:G257"/>
    <mergeCell ref="A258:G258"/>
    <mergeCell ref="A259:G259"/>
    <mergeCell ref="A260:G260"/>
    <mergeCell ref="A261:G261"/>
    <mergeCell ref="A72:G72"/>
    <mergeCell ref="A241:H241"/>
    <mergeCell ref="A242:K242"/>
    <mergeCell ref="F245:G245"/>
    <mergeCell ref="A142:G142"/>
    <mergeCell ref="A143:G143"/>
    <mergeCell ref="A186:K186"/>
    <mergeCell ref="A187:K187"/>
    <mergeCell ref="A188:G188"/>
    <mergeCell ref="A198:G198"/>
    <mergeCell ref="A199:G199"/>
    <mergeCell ref="A203:G203"/>
    <mergeCell ref="A135:G135"/>
    <mergeCell ref="A136:G136"/>
    <mergeCell ref="A123:G123"/>
    <mergeCell ref="A105:G105"/>
    <mergeCell ref="A116:G116"/>
    <mergeCell ref="A103:G103"/>
    <mergeCell ref="A126:G126"/>
    <mergeCell ref="A88:G88"/>
    <mergeCell ref="A89:G89"/>
    <mergeCell ref="A90:G90"/>
    <mergeCell ref="A91:G91"/>
    <mergeCell ref="A92:G92"/>
    <mergeCell ref="A37:H37"/>
    <mergeCell ref="A73:G73"/>
    <mergeCell ref="A74:G74"/>
    <mergeCell ref="A38:H38"/>
    <mergeCell ref="A39:K39"/>
    <mergeCell ref="A42:B42"/>
    <mergeCell ref="A52:G52"/>
    <mergeCell ref="A53:G53"/>
    <mergeCell ref="A54:G54"/>
    <mergeCell ref="A55:G55"/>
    <mergeCell ref="A64:B64"/>
    <mergeCell ref="A61:K61"/>
    <mergeCell ref="A71:K71"/>
    <mergeCell ref="H42:J42"/>
    <mergeCell ref="K42:L42"/>
    <mergeCell ref="A45:L45"/>
    <mergeCell ref="A47:H47"/>
    <mergeCell ref="F42:G42"/>
    <mergeCell ref="A48:K48"/>
    <mergeCell ref="K64:L64"/>
    <mergeCell ref="A49:G49"/>
    <mergeCell ref="A50:G50"/>
    <mergeCell ref="A51:G51"/>
    <mergeCell ref="A70:K70"/>
    <mergeCell ref="A93:G93"/>
    <mergeCell ref="A117:G117"/>
    <mergeCell ref="A118:G118"/>
    <mergeCell ref="A119:G119"/>
    <mergeCell ref="A124:G124"/>
    <mergeCell ref="A101:G101"/>
    <mergeCell ref="A102:G102"/>
    <mergeCell ref="A114:G114"/>
    <mergeCell ref="A94:G94"/>
    <mergeCell ref="A95:G95"/>
    <mergeCell ref="A96:G96"/>
    <mergeCell ref="A97:G97"/>
    <mergeCell ref="A98:G98"/>
    <mergeCell ref="A99:G99"/>
    <mergeCell ref="A106:G106"/>
    <mergeCell ref="A171:G171"/>
    <mergeCell ref="A172:G172"/>
    <mergeCell ref="A238:G238"/>
    <mergeCell ref="A210:G210"/>
    <mergeCell ref="A211:G211"/>
    <mergeCell ref="A212:G212"/>
    <mergeCell ref="A213:G213"/>
    <mergeCell ref="A214:G214"/>
    <mergeCell ref="A215:G215"/>
    <mergeCell ref="A202:G202"/>
    <mergeCell ref="A177:K177"/>
    <mergeCell ref="A229:G229"/>
    <mergeCell ref="A230:G230"/>
    <mergeCell ref="A231:G231"/>
    <mergeCell ref="A204:G204"/>
    <mergeCell ref="A220:G220"/>
    <mergeCell ref="A221:G221"/>
    <mergeCell ref="A222:G222"/>
    <mergeCell ref="A223:G223"/>
    <mergeCell ref="A224:G224"/>
    <mergeCell ref="A225:G225"/>
    <mergeCell ref="A180:B180"/>
    <mergeCell ref="F180:G180"/>
    <mergeCell ref="A209:G209"/>
    <mergeCell ref="A164:G164"/>
    <mergeCell ref="A165:G165"/>
    <mergeCell ref="A183:L183"/>
    <mergeCell ref="A139:G139"/>
    <mergeCell ref="H180:J180"/>
    <mergeCell ref="A140:G140"/>
    <mergeCell ref="A141:G141"/>
    <mergeCell ref="A150:G150"/>
    <mergeCell ref="A151:G151"/>
    <mergeCell ref="A158:G158"/>
    <mergeCell ref="A159:G159"/>
    <mergeCell ref="A160:G160"/>
    <mergeCell ref="A152:G152"/>
    <mergeCell ref="A153:G153"/>
    <mergeCell ref="A154:G154"/>
    <mergeCell ref="A155:G155"/>
    <mergeCell ref="A163:G163"/>
    <mergeCell ref="A170:G170"/>
    <mergeCell ref="A173:G173"/>
    <mergeCell ref="A174:G174"/>
    <mergeCell ref="A169:G169"/>
    <mergeCell ref="A168:G168"/>
    <mergeCell ref="A167:G167"/>
    <mergeCell ref="A156:G156"/>
    <mergeCell ref="A266:K266"/>
    <mergeCell ref="A264:H264"/>
    <mergeCell ref="A265:H265"/>
    <mergeCell ref="A250:H250"/>
    <mergeCell ref="A205:G205"/>
    <mergeCell ref="A206:G206"/>
    <mergeCell ref="A207:G207"/>
    <mergeCell ref="A245:B245"/>
    <mergeCell ref="H245:J245"/>
    <mergeCell ref="A216:G216"/>
    <mergeCell ref="A217:G217"/>
    <mergeCell ref="A218:G218"/>
    <mergeCell ref="A219:G219"/>
    <mergeCell ref="A235:G235"/>
    <mergeCell ref="A236:G236"/>
    <mergeCell ref="A237:G237"/>
    <mergeCell ref="A208:G208"/>
    <mergeCell ref="A232:G232"/>
    <mergeCell ref="A233:G233"/>
    <mergeCell ref="A234:G234"/>
    <mergeCell ref="A239:G239"/>
    <mergeCell ref="A226:G226"/>
    <mergeCell ref="A227:G227"/>
    <mergeCell ref="A228:G228"/>
    <mergeCell ref="A11:G11"/>
    <mergeCell ref="H3:J3"/>
    <mergeCell ref="K3:L3"/>
    <mergeCell ref="A6:L6"/>
    <mergeCell ref="F3:G3"/>
    <mergeCell ref="A3:B3"/>
    <mergeCell ref="A8:G8"/>
    <mergeCell ref="A9:G9"/>
    <mergeCell ref="A10:G10"/>
    <mergeCell ref="A200:G200"/>
    <mergeCell ref="A201:G201"/>
    <mergeCell ref="A67:L67"/>
    <mergeCell ref="A69:H69"/>
    <mergeCell ref="F64:G64"/>
    <mergeCell ref="A56:G56"/>
    <mergeCell ref="A57:G57"/>
    <mergeCell ref="A58:G58"/>
    <mergeCell ref="A75:G75"/>
    <mergeCell ref="A77:G77"/>
    <mergeCell ref="A87:G87"/>
    <mergeCell ref="A76:G76"/>
    <mergeCell ref="H64:J64"/>
    <mergeCell ref="A60:H60"/>
    <mergeCell ref="A59:H59"/>
    <mergeCell ref="A121:G121"/>
    <mergeCell ref="A122:G122"/>
    <mergeCell ref="A185:H185"/>
    <mergeCell ref="A138:G138"/>
    <mergeCell ref="A166:G166"/>
    <mergeCell ref="A148:G148"/>
    <mergeCell ref="A149:G149"/>
    <mergeCell ref="A161:G161"/>
    <mergeCell ref="A162:G162"/>
    <mergeCell ref="A157:G157"/>
    <mergeCell ref="A12:G12"/>
    <mergeCell ref="A15:G15"/>
    <mergeCell ref="A18:G18"/>
    <mergeCell ref="A13:G13"/>
    <mergeCell ref="A14:G14"/>
    <mergeCell ref="A16:G16"/>
    <mergeCell ref="A17:G17"/>
    <mergeCell ref="A144:G144"/>
    <mergeCell ref="A145:G145"/>
    <mergeCell ref="A146:G146"/>
    <mergeCell ref="A137:G137"/>
    <mergeCell ref="A107:G107"/>
    <mergeCell ref="A108:G108"/>
    <mergeCell ref="A109:G109"/>
    <mergeCell ref="A110:G110"/>
    <mergeCell ref="A120:G120"/>
    <mergeCell ref="A100:G100"/>
    <mergeCell ref="A104:G104"/>
    <mergeCell ref="A131:G131"/>
    <mergeCell ref="A132:G132"/>
    <mergeCell ref="A133:G133"/>
    <mergeCell ref="A134:G134"/>
    <mergeCell ref="A125:G125"/>
    <mergeCell ref="A19:G19"/>
    <mergeCell ref="A20:G20"/>
    <mergeCell ref="A21:G21"/>
    <mergeCell ref="A22:G22"/>
    <mergeCell ref="A23:G23"/>
    <mergeCell ref="A24:G24"/>
    <mergeCell ref="A25:G25"/>
    <mergeCell ref="A26:G26"/>
    <mergeCell ref="A27:G27"/>
    <mergeCell ref="A28:G28"/>
    <mergeCell ref="A29:G29"/>
    <mergeCell ref="A30:G30"/>
    <mergeCell ref="A31:G31"/>
    <mergeCell ref="A32:G32"/>
    <mergeCell ref="A33:G33"/>
    <mergeCell ref="A34:G34"/>
    <mergeCell ref="A35:G35"/>
    <mergeCell ref="A36:G36"/>
  </mergeCells>
  <conditionalFormatting sqref="L11">
    <cfRule type="expression" dxfId="96" priority="159">
      <formula>L11&gt;H11</formula>
    </cfRule>
  </conditionalFormatting>
  <conditionalFormatting sqref="L51">
    <cfRule type="expression" dxfId="95" priority="145">
      <formula>L51&gt;H51</formula>
    </cfRule>
  </conditionalFormatting>
  <conditionalFormatting sqref="L139">
    <cfRule type="expression" dxfId="94" priority="132">
      <formula>L139&gt;H139</formula>
    </cfRule>
  </conditionalFormatting>
  <conditionalFormatting sqref="L139">
    <cfRule type="expression" dxfId="93" priority="131">
      <formula>L139&gt;H139</formula>
    </cfRule>
  </conditionalFormatting>
  <conditionalFormatting sqref="L198">
    <cfRule type="expression" dxfId="92" priority="128">
      <formula>L198&gt;H198</formula>
    </cfRule>
  </conditionalFormatting>
  <conditionalFormatting sqref="L139">
    <cfRule type="expression" dxfId="91" priority="133">
      <formula>L139&gt;H139</formula>
    </cfRule>
  </conditionalFormatting>
  <conditionalFormatting sqref="L198">
    <cfRule type="expression" dxfId="90" priority="129">
      <formula>L198&gt;H198</formula>
    </cfRule>
  </conditionalFormatting>
  <conditionalFormatting sqref="L207">
    <cfRule type="expression" dxfId="89" priority="125">
      <formula>L207&gt;H207</formula>
    </cfRule>
  </conditionalFormatting>
  <conditionalFormatting sqref="L198">
    <cfRule type="expression" dxfId="88" priority="130">
      <formula>L198&gt;H198</formula>
    </cfRule>
  </conditionalFormatting>
  <conditionalFormatting sqref="L207">
    <cfRule type="expression" dxfId="87" priority="126">
      <formula>L207&gt;H207</formula>
    </cfRule>
  </conditionalFormatting>
  <conditionalFormatting sqref="L216">
    <cfRule type="expression" dxfId="86" priority="122">
      <formula>L216&gt;H216</formula>
    </cfRule>
  </conditionalFormatting>
  <conditionalFormatting sqref="L207">
    <cfRule type="expression" dxfId="85" priority="127">
      <formula>L207&gt;H207</formula>
    </cfRule>
  </conditionalFormatting>
  <conditionalFormatting sqref="L216">
    <cfRule type="expression" dxfId="84" priority="123">
      <formula>L216&gt;H216</formula>
    </cfRule>
  </conditionalFormatting>
  <conditionalFormatting sqref="L216">
    <cfRule type="expression" dxfId="83" priority="124">
      <formula>L216&gt;H216</formula>
    </cfRule>
  </conditionalFormatting>
  <conditionalFormatting sqref="L224">
    <cfRule type="expression" dxfId="82" priority="119">
      <formula>L224&gt;H224</formula>
    </cfRule>
  </conditionalFormatting>
  <conditionalFormatting sqref="L224">
    <cfRule type="expression" dxfId="81" priority="120">
      <formula>L224&gt;H224</formula>
    </cfRule>
  </conditionalFormatting>
  <conditionalFormatting sqref="L232">
    <cfRule type="expression" dxfId="80" priority="116">
      <formula>L232&gt;H232</formula>
    </cfRule>
  </conditionalFormatting>
  <conditionalFormatting sqref="L224">
    <cfRule type="expression" dxfId="79" priority="121">
      <formula>L224&gt;H224</formula>
    </cfRule>
  </conditionalFormatting>
  <conditionalFormatting sqref="L232">
    <cfRule type="expression" dxfId="78" priority="117">
      <formula>L232&gt;H232</formula>
    </cfRule>
  </conditionalFormatting>
  <conditionalFormatting sqref="L232">
    <cfRule type="expression" dxfId="77" priority="118">
      <formula>L232&gt;H232</formula>
    </cfRule>
  </conditionalFormatting>
  <conditionalFormatting sqref="L254">
    <cfRule type="expression" dxfId="76" priority="106">
      <formula>L254&gt;H254</formula>
    </cfRule>
  </conditionalFormatting>
  <conditionalFormatting sqref="L254">
    <cfRule type="expression" dxfId="75" priority="105">
      <formula>L254&gt;H254</formula>
    </cfRule>
  </conditionalFormatting>
  <conditionalFormatting sqref="L254">
    <cfRule type="expression" dxfId="74" priority="104">
      <formula>L254&gt;H254</formula>
    </cfRule>
  </conditionalFormatting>
  <conditionalFormatting sqref="L254">
    <cfRule type="expression" dxfId="73" priority="103">
      <formula>L254&gt;H254</formula>
    </cfRule>
  </conditionalFormatting>
  <conditionalFormatting sqref="L254">
    <cfRule type="expression" dxfId="72" priority="102">
      <formula>L254&gt;H254</formula>
    </cfRule>
  </conditionalFormatting>
  <conditionalFormatting sqref="L254">
    <cfRule type="expression" dxfId="71" priority="101">
      <formula>L254&gt;H254</formula>
    </cfRule>
  </conditionalFormatting>
  <conditionalFormatting sqref="L167">
    <cfRule type="expression" dxfId="70" priority="34">
      <formula>L167&gt;H167</formula>
    </cfRule>
  </conditionalFormatting>
  <conditionalFormatting sqref="L167">
    <cfRule type="expression" dxfId="69" priority="33">
      <formula>L167&gt;H167</formula>
    </cfRule>
  </conditionalFormatting>
  <conditionalFormatting sqref="L167">
    <cfRule type="expression" dxfId="68" priority="35">
      <formula>L167&gt;H167</formula>
    </cfRule>
  </conditionalFormatting>
  <conditionalFormatting sqref="L73">
    <cfRule type="expression" dxfId="67" priority="31">
      <formula>L73&gt;H73</formula>
    </cfRule>
  </conditionalFormatting>
  <conditionalFormatting sqref="L73">
    <cfRule type="expression" dxfId="66" priority="30">
      <formula>L73&gt;H73</formula>
    </cfRule>
  </conditionalFormatting>
  <conditionalFormatting sqref="L73">
    <cfRule type="expression" dxfId="65" priority="32">
      <formula>L73&gt;H73</formula>
    </cfRule>
  </conditionalFormatting>
  <conditionalFormatting sqref="L81">
    <cfRule type="expression" dxfId="64" priority="28">
      <formula>L81&gt;H81</formula>
    </cfRule>
  </conditionalFormatting>
  <conditionalFormatting sqref="L81">
    <cfRule type="expression" dxfId="63" priority="27">
      <formula>L81&gt;H81</formula>
    </cfRule>
  </conditionalFormatting>
  <conditionalFormatting sqref="L81">
    <cfRule type="expression" dxfId="62" priority="29">
      <formula>L81&gt;H81</formula>
    </cfRule>
  </conditionalFormatting>
  <conditionalFormatting sqref="L89">
    <cfRule type="expression" dxfId="61" priority="25">
      <formula>L89&gt;H89</formula>
    </cfRule>
  </conditionalFormatting>
  <conditionalFormatting sqref="L89">
    <cfRule type="expression" dxfId="60" priority="24">
      <formula>L89&gt;H89</formula>
    </cfRule>
  </conditionalFormatting>
  <conditionalFormatting sqref="L89">
    <cfRule type="expression" dxfId="59" priority="26">
      <formula>L89&gt;H89</formula>
    </cfRule>
  </conditionalFormatting>
  <conditionalFormatting sqref="L97">
    <cfRule type="expression" dxfId="58" priority="23">
      <formula>L97&gt;H97</formula>
    </cfRule>
  </conditionalFormatting>
  <conditionalFormatting sqref="L97">
    <cfRule type="expression" dxfId="57" priority="22">
      <formula>L97&gt;H97</formula>
    </cfRule>
  </conditionalFormatting>
  <conditionalFormatting sqref="L97">
    <cfRule type="expression" dxfId="56" priority="21">
      <formula>L97&gt;H97</formula>
    </cfRule>
  </conditionalFormatting>
  <conditionalFormatting sqref="L131">
    <cfRule type="expression" dxfId="55" priority="19">
      <formula>L131&gt;H131</formula>
    </cfRule>
  </conditionalFormatting>
  <conditionalFormatting sqref="L131">
    <cfRule type="expression" dxfId="54" priority="18">
      <formula>L131&gt;H131</formula>
    </cfRule>
  </conditionalFormatting>
  <conditionalFormatting sqref="L131">
    <cfRule type="expression" dxfId="53" priority="20">
      <formula>L131&gt;H131</formula>
    </cfRule>
  </conditionalFormatting>
  <conditionalFormatting sqref="L123">
    <cfRule type="expression" dxfId="52" priority="16">
      <formula>L123&gt;H123</formula>
    </cfRule>
  </conditionalFormatting>
  <conditionalFormatting sqref="L123">
    <cfRule type="expression" dxfId="51" priority="15">
      <formula>L123&gt;H123</formula>
    </cfRule>
  </conditionalFormatting>
  <conditionalFormatting sqref="L123">
    <cfRule type="expression" dxfId="50" priority="17">
      <formula>L123&gt;H123</formula>
    </cfRule>
  </conditionalFormatting>
  <conditionalFormatting sqref="L115">
    <cfRule type="expression" dxfId="49" priority="13">
      <formula>L115&gt;H115</formula>
    </cfRule>
  </conditionalFormatting>
  <conditionalFormatting sqref="L115">
    <cfRule type="expression" dxfId="48" priority="12">
      <formula>L115&gt;H115</formula>
    </cfRule>
  </conditionalFormatting>
  <conditionalFormatting sqref="L115">
    <cfRule type="expression" dxfId="47" priority="14">
      <formula>L115&gt;H115</formula>
    </cfRule>
  </conditionalFormatting>
  <conditionalFormatting sqref="L106">
    <cfRule type="expression" dxfId="46" priority="10">
      <formula>L106&gt;H106</formula>
    </cfRule>
  </conditionalFormatting>
  <conditionalFormatting sqref="L106">
    <cfRule type="expression" dxfId="45" priority="9">
      <formula>L106&gt;H106</formula>
    </cfRule>
  </conditionalFormatting>
  <conditionalFormatting sqref="L106">
    <cfRule type="expression" dxfId="44" priority="11">
      <formula>L106&gt;H106</formula>
    </cfRule>
  </conditionalFormatting>
  <conditionalFormatting sqref="L148">
    <cfRule type="expression" dxfId="43" priority="7">
      <formula>L148&gt;H148</formula>
    </cfRule>
  </conditionalFormatting>
  <conditionalFormatting sqref="L148">
    <cfRule type="expression" dxfId="42" priority="6">
      <formula>L148&gt;H148</formula>
    </cfRule>
  </conditionalFormatting>
  <conditionalFormatting sqref="L148">
    <cfRule type="expression" dxfId="41" priority="8">
      <formula>L148&gt;H148</formula>
    </cfRule>
  </conditionalFormatting>
  <conditionalFormatting sqref="L189">
    <cfRule type="expression" dxfId="40" priority="3">
      <formula>L189&gt;H189</formula>
    </cfRule>
  </conditionalFormatting>
  <conditionalFormatting sqref="L189">
    <cfRule type="expression" dxfId="39" priority="4">
      <formula>L189&gt;H189</formula>
    </cfRule>
  </conditionalFormatting>
  <conditionalFormatting sqref="L189">
    <cfRule type="expression" dxfId="38" priority="5">
      <formula>L189&gt;H189</formula>
    </cfRule>
  </conditionalFormatting>
  <conditionalFormatting sqref="L20">
    <cfRule type="expression" dxfId="37" priority="2">
      <formula>L20&gt;H20</formula>
    </cfRule>
  </conditionalFormatting>
  <conditionalFormatting sqref="L29">
    <cfRule type="expression" dxfId="36" priority="1">
      <formula>L29&gt;H29</formula>
    </cfRule>
  </conditionalFormatting>
  <pageMargins left="0" right="0" top="0.3" bottom="0" header="0.17" footer="0.17"/>
  <pageSetup paperSize="9" fitToHeight="0" orientation="landscape" blackAndWhite="1" r:id="rId1"/>
  <headerFooter alignWithMargins="0">
    <oddHeader>&amp;L&amp;"Calibri"&amp;10&amp;K000000 Sensitivity - General&amp;1#_x000D_</oddHeader>
  </headerFooter>
  <rowBreaks count="5" manualBreakCount="5">
    <brk id="39" max="16383" man="1"/>
    <brk id="61" max="16383" man="1"/>
    <brk id="177" max="16383" man="1"/>
    <brk id="224" max="16383" man="1"/>
    <brk id="242"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2">
    <tabColor rgb="FF0070C0"/>
    <pageSetUpPr fitToPage="1"/>
  </sheetPr>
  <dimension ref="A1:L33"/>
  <sheetViews>
    <sheetView zoomScale="75" zoomScaleNormal="75" zoomScaleSheetLayoutView="75" workbookViewId="0">
      <selection sqref="A1:E1"/>
    </sheetView>
  </sheetViews>
  <sheetFormatPr defaultRowHeight="13.2"/>
  <cols>
    <col min="1" max="2" width="9.109375" style="10"/>
    <col min="3" max="3" width="12" style="10" bestFit="1" customWidth="1"/>
    <col min="4" max="7" width="9.109375" style="10"/>
    <col min="8" max="8" width="17.33203125" style="10" customWidth="1"/>
    <col min="9" max="11" width="9.6640625" style="10" customWidth="1"/>
    <col min="12" max="12" width="15" style="10" customWidth="1"/>
    <col min="13" max="258" width="9.109375" style="10"/>
    <col min="259" max="259" width="12" style="10" bestFit="1" customWidth="1"/>
    <col min="260" max="263" width="9.109375" style="10"/>
    <col min="264" max="264" width="17.33203125" style="10" customWidth="1"/>
    <col min="265" max="267" width="9.6640625" style="10" customWidth="1"/>
    <col min="268" max="268" width="15" style="10" customWidth="1"/>
    <col min="269" max="514" width="9.109375" style="10"/>
    <col min="515" max="515" width="12" style="10" bestFit="1" customWidth="1"/>
    <col min="516" max="519" width="9.109375" style="10"/>
    <col min="520" max="520" width="17.33203125" style="10" customWidth="1"/>
    <col min="521" max="523" width="9.6640625" style="10" customWidth="1"/>
    <col min="524" max="524" width="15" style="10" customWidth="1"/>
    <col min="525" max="770" width="9.109375" style="10"/>
    <col min="771" max="771" width="12" style="10" bestFit="1" customWidth="1"/>
    <col min="772" max="775" width="9.109375" style="10"/>
    <col min="776" max="776" width="17.33203125" style="10" customWidth="1"/>
    <col min="777" max="779" width="9.6640625" style="10" customWidth="1"/>
    <col min="780" max="780" width="15" style="10" customWidth="1"/>
    <col min="781" max="1026" width="9.109375" style="10"/>
    <col min="1027" max="1027" width="12" style="10" bestFit="1" customWidth="1"/>
    <col min="1028" max="1031" width="9.109375" style="10"/>
    <col min="1032" max="1032" width="17.33203125" style="10" customWidth="1"/>
    <col min="1033" max="1035" width="9.6640625" style="10" customWidth="1"/>
    <col min="1036" max="1036" width="15" style="10" customWidth="1"/>
    <col min="1037" max="1282" width="9.109375" style="10"/>
    <col min="1283" max="1283" width="12" style="10" bestFit="1" customWidth="1"/>
    <col min="1284" max="1287" width="9.109375" style="10"/>
    <col min="1288" max="1288" width="17.33203125" style="10" customWidth="1"/>
    <col min="1289" max="1291" width="9.6640625" style="10" customWidth="1"/>
    <col min="1292" max="1292" width="15" style="10" customWidth="1"/>
    <col min="1293" max="1538" width="9.109375" style="10"/>
    <col min="1539" max="1539" width="12" style="10" bestFit="1" customWidth="1"/>
    <col min="1540" max="1543" width="9.109375" style="10"/>
    <col min="1544" max="1544" width="17.33203125" style="10" customWidth="1"/>
    <col min="1545" max="1547" width="9.6640625" style="10" customWidth="1"/>
    <col min="1548" max="1548" width="15" style="10" customWidth="1"/>
    <col min="1549" max="1794" width="9.109375" style="10"/>
    <col min="1795" max="1795" width="12" style="10" bestFit="1" customWidth="1"/>
    <col min="1796" max="1799" width="9.109375" style="10"/>
    <col min="1800" max="1800" width="17.33203125" style="10" customWidth="1"/>
    <col min="1801" max="1803" width="9.6640625" style="10" customWidth="1"/>
    <col min="1804" max="1804" width="15" style="10" customWidth="1"/>
    <col min="1805" max="2050" width="9.109375" style="10"/>
    <col min="2051" max="2051" width="12" style="10" bestFit="1" customWidth="1"/>
    <col min="2052" max="2055" width="9.109375" style="10"/>
    <col min="2056" max="2056" width="17.33203125" style="10" customWidth="1"/>
    <col min="2057" max="2059" width="9.6640625" style="10" customWidth="1"/>
    <col min="2060" max="2060" width="15" style="10" customWidth="1"/>
    <col min="2061" max="2306" width="9.109375" style="10"/>
    <col min="2307" max="2307" width="12" style="10" bestFit="1" customWidth="1"/>
    <col min="2308" max="2311" width="9.109375" style="10"/>
    <col min="2312" max="2312" width="17.33203125" style="10" customWidth="1"/>
    <col min="2313" max="2315" width="9.6640625" style="10" customWidth="1"/>
    <col min="2316" max="2316" width="15" style="10" customWidth="1"/>
    <col min="2317" max="2562" width="9.109375" style="10"/>
    <col min="2563" max="2563" width="12" style="10" bestFit="1" customWidth="1"/>
    <col min="2564" max="2567" width="9.109375" style="10"/>
    <col min="2568" max="2568" width="17.33203125" style="10" customWidth="1"/>
    <col min="2569" max="2571" width="9.6640625" style="10" customWidth="1"/>
    <col min="2572" max="2572" width="15" style="10" customWidth="1"/>
    <col min="2573" max="2818" width="9.109375" style="10"/>
    <col min="2819" max="2819" width="12" style="10" bestFit="1" customWidth="1"/>
    <col min="2820" max="2823" width="9.109375" style="10"/>
    <col min="2824" max="2824" width="17.33203125" style="10" customWidth="1"/>
    <col min="2825" max="2827" width="9.6640625" style="10" customWidth="1"/>
    <col min="2828" max="2828" width="15" style="10" customWidth="1"/>
    <col min="2829" max="3074" width="9.109375" style="10"/>
    <col min="3075" max="3075" width="12" style="10" bestFit="1" customWidth="1"/>
    <col min="3076" max="3079" width="9.109375" style="10"/>
    <col min="3080" max="3080" width="17.33203125" style="10" customWidth="1"/>
    <col min="3081" max="3083" width="9.6640625" style="10" customWidth="1"/>
    <col min="3084" max="3084" width="15" style="10" customWidth="1"/>
    <col min="3085" max="3330" width="9.109375" style="10"/>
    <col min="3331" max="3331" width="12" style="10" bestFit="1" customWidth="1"/>
    <col min="3332" max="3335" width="9.109375" style="10"/>
    <col min="3336" max="3336" width="17.33203125" style="10" customWidth="1"/>
    <col min="3337" max="3339" width="9.6640625" style="10" customWidth="1"/>
    <col min="3340" max="3340" width="15" style="10" customWidth="1"/>
    <col min="3341" max="3586" width="9.109375" style="10"/>
    <col min="3587" max="3587" width="12" style="10" bestFit="1" customWidth="1"/>
    <col min="3588" max="3591" width="9.109375" style="10"/>
    <col min="3592" max="3592" width="17.33203125" style="10" customWidth="1"/>
    <col min="3593" max="3595" width="9.6640625" style="10" customWidth="1"/>
    <col min="3596" max="3596" width="15" style="10" customWidth="1"/>
    <col min="3597" max="3842" width="9.109375" style="10"/>
    <col min="3843" max="3843" width="12" style="10" bestFit="1" customWidth="1"/>
    <col min="3844" max="3847" width="9.109375" style="10"/>
    <col min="3848" max="3848" width="17.33203125" style="10" customWidth="1"/>
    <col min="3849" max="3851" width="9.6640625" style="10" customWidth="1"/>
    <col min="3852" max="3852" width="15" style="10" customWidth="1"/>
    <col min="3853" max="4098" width="9.109375" style="10"/>
    <col min="4099" max="4099" width="12" style="10" bestFit="1" customWidth="1"/>
    <col min="4100" max="4103" width="9.109375" style="10"/>
    <col min="4104" max="4104" width="17.33203125" style="10" customWidth="1"/>
    <col min="4105" max="4107" width="9.6640625" style="10" customWidth="1"/>
    <col min="4108" max="4108" width="15" style="10" customWidth="1"/>
    <col min="4109" max="4354" width="9.109375" style="10"/>
    <col min="4355" max="4355" width="12" style="10" bestFit="1" customWidth="1"/>
    <col min="4356" max="4359" width="9.109375" style="10"/>
    <col min="4360" max="4360" width="17.33203125" style="10" customWidth="1"/>
    <col min="4361" max="4363" width="9.6640625" style="10" customWidth="1"/>
    <col min="4364" max="4364" width="15" style="10" customWidth="1"/>
    <col min="4365" max="4610" width="9.109375" style="10"/>
    <col min="4611" max="4611" width="12" style="10" bestFit="1" customWidth="1"/>
    <col min="4612" max="4615" width="9.109375" style="10"/>
    <col min="4616" max="4616" width="17.33203125" style="10" customWidth="1"/>
    <col min="4617" max="4619" width="9.6640625" style="10" customWidth="1"/>
    <col min="4620" max="4620" width="15" style="10" customWidth="1"/>
    <col min="4621" max="4866" width="9.109375" style="10"/>
    <col min="4867" max="4867" width="12" style="10" bestFit="1" customWidth="1"/>
    <col min="4868" max="4871" width="9.109375" style="10"/>
    <col min="4872" max="4872" width="17.33203125" style="10" customWidth="1"/>
    <col min="4873" max="4875" width="9.6640625" style="10" customWidth="1"/>
    <col min="4876" max="4876" width="15" style="10" customWidth="1"/>
    <col min="4877" max="5122" width="9.109375" style="10"/>
    <col min="5123" max="5123" width="12" style="10" bestFit="1" customWidth="1"/>
    <col min="5124" max="5127" width="9.109375" style="10"/>
    <col min="5128" max="5128" width="17.33203125" style="10" customWidth="1"/>
    <col min="5129" max="5131" width="9.6640625" style="10" customWidth="1"/>
    <col min="5132" max="5132" width="15" style="10" customWidth="1"/>
    <col min="5133" max="5378" width="9.109375" style="10"/>
    <col min="5379" max="5379" width="12" style="10" bestFit="1" customWidth="1"/>
    <col min="5380" max="5383" width="9.109375" style="10"/>
    <col min="5384" max="5384" width="17.33203125" style="10" customWidth="1"/>
    <col min="5385" max="5387" width="9.6640625" style="10" customWidth="1"/>
    <col min="5388" max="5388" width="15" style="10" customWidth="1"/>
    <col min="5389" max="5634" width="9.109375" style="10"/>
    <col min="5635" max="5635" width="12" style="10" bestFit="1" customWidth="1"/>
    <col min="5636" max="5639" width="9.109375" style="10"/>
    <col min="5640" max="5640" width="17.33203125" style="10" customWidth="1"/>
    <col min="5641" max="5643" width="9.6640625" style="10" customWidth="1"/>
    <col min="5644" max="5644" width="15" style="10" customWidth="1"/>
    <col min="5645" max="5890" width="9.109375" style="10"/>
    <col min="5891" max="5891" width="12" style="10" bestFit="1" customWidth="1"/>
    <col min="5892" max="5895" width="9.109375" style="10"/>
    <col min="5896" max="5896" width="17.33203125" style="10" customWidth="1"/>
    <col min="5897" max="5899" width="9.6640625" style="10" customWidth="1"/>
    <col min="5900" max="5900" width="15" style="10" customWidth="1"/>
    <col min="5901" max="6146" width="9.109375" style="10"/>
    <col min="6147" max="6147" width="12" style="10" bestFit="1" customWidth="1"/>
    <col min="6148" max="6151" width="9.109375" style="10"/>
    <col min="6152" max="6152" width="17.33203125" style="10" customWidth="1"/>
    <col min="6153" max="6155" width="9.6640625" style="10" customWidth="1"/>
    <col min="6156" max="6156" width="15" style="10" customWidth="1"/>
    <col min="6157" max="6402" width="9.109375" style="10"/>
    <col min="6403" max="6403" width="12" style="10" bestFit="1" customWidth="1"/>
    <col min="6404" max="6407" width="9.109375" style="10"/>
    <col min="6408" max="6408" width="17.33203125" style="10" customWidth="1"/>
    <col min="6409" max="6411" width="9.6640625" style="10" customWidth="1"/>
    <col min="6412" max="6412" width="15" style="10" customWidth="1"/>
    <col min="6413" max="6658" width="9.109375" style="10"/>
    <col min="6659" max="6659" width="12" style="10" bestFit="1" customWidth="1"/>
    <col min="6660" max="6663" width="9.109375" style="10"/>
    <col min="6664" max="6664" width="17.33203125" style="10" customWidth="1"/>
    <col min="6665" max="6667" width="9.6640625" style="10" customWidth="1"/>
    <col min="6668" max="6668" width="15" style="10" customWidth="1"/>
    <col min="6669" max="6914" width="9.109375" style="10"/>
    <col min="6915" max="6915" width="12" style="10" bestFit="1" customWidth="1"/>
    <col min="6916" max="6919" width="9.109375" style="10"/>
    <col min="6920" max="6920" width="17.33203125" style="10" customWidth="1"/>
    <col min="6921" max="6923" width="9.6640625" style="10" customWidth="1"/>
    <col min="6924" max="6924" width="15" style="10" customWidth="1"/>
    <col min="6925" max="7170" width="9.109375" style="10"/>
    <col min="7171" max="7171" width="12" style="10" bestFit="1" customWidth="1"/>
    <col min="7172" max="7175" width="9.109375" style="10"/>
    <col min="7176" max="7176" width="17.33203125" style="10" customWidth="1"/>
    <col min="7177" max="7179" width="9.6640625" style="10" customWidth="1"/>
    <col min="7180" max="7180" width="15" style="10" customWidth="1"/>
    <col min="7181" max="7426" width="9.109375" style="10"/>
    <col min="7427" max="7427" width="12" style="10" bestFit="1" customWidth="1"/>
    <col min="7428" max="7431" width="9.109375" style="10"/>
    <col min="7432" max="7432" width="17.33203125" style="10" customWidth="1"/>
    <col min="7433" max="7435" width="9.6640625" style="10" customWidth="1"/>
    <col min="7436" max="7436" width="15" style="10" customWidth="1"/>
    <col min="7437" max="7682" width="9.109375" style="10"/>
    <col min="7683" max="7683" width="12" style="10" bestFit="1" customWidth="1"/>
    <col min="7684" max="7687" width="9.109375" style="10"/>
    <col min="7688" max="7688" width="17.33203125" style="10" customWidth="1"/>
    <col min="7689" max="7691" width="9.6640625" style="10" customWidth="1"/>
    <col min="7692" max="7692" width="15" style="10" customWidth="1"/>
    <col min="7693" max="7938" width="9.109375" style="10"/>
    <col min="7939" max="7939" width="12" style="10" bestFit="1" customWidth="1"/>
    <col min="7940" max="7943" width="9.109375" style="10"/>
    <col min="7944" max="7944" width="17.33203125" style="10" customWidth="1"/>
    <col min="7945" max="7947" width="9.6640625" style="10" customWidth="1"/>
    <col min="7948" max="7948" width="15" style="10" customWidth="1"/>
    <col min="7949" max="8194" width="9.109375" style="10"/>
    <col min="8195" max="8195" width="12" style="10" bestFit="1" customWidth="1"/>
    <col min="8196" max="8199" width="9.109375" style="10"/>
    <col min="8200" max="8200" width="17.33203125" style="10" customWidth="1"/>
    <col min="8201" max="8203" width="9.6640625" style="10" customWidth="1"/>
    <col min="8204" max="8204" width="15" style="10" customWidth="1"/>
    <col min="8205" max="8450" width="9.109375" style="10"/>
    <col min="8451" max="8451" width="12" style="10" bestFit="1" customWidth="1"/>
    <col min="8452" max="8455" width="9.109375" style="10"/>
    <col min="8456" max="8456" width="17.33203125" style="10" customWidth="1"/>
    <col min="8457" max="8459" width="9.6640625" style="10" customWidth="1"/>
    <col min="8460" max="8460" width="15" style="10" customWidth="1"/>
    <col min="8461" max="8706" width="9.109375" style="10"/>
    <col min="8707" max="8707" width="12" style="10" bestFit="1" customWidth="1"/>
    <col min="8708" max="8711" width="9.109375" style="10"/>
    <col min="8712" max="8712" width="17.33203125" style="10" customWidth="1"/>
    <col min="8713" max="8715" width="9.6640625" style="10" customWidth="1"/>
    <col min="8716" max="8716" width="15" style="10" customWidth="1"/>
    <col min="8717" max="8962" width="9.109375" style="10"/>
    <col min="8963" max="8963" width="12" style="10" bestFit="1" customWidth="1"/>
    <col min="8964" max="8967" width="9.109375" style="10"/>
    <col min="8968" max="8968" width="17.33203125" style="10" customWidth="1"/>
    <col min="8969" max="8971" width="9.6640625" style="10" customWidth="1"/>
    <col min="8972" max="8972" width="15" style="10" customWidth="1"/>
    <col min="8973" max="9218" width="9.109375" style="10"/>
    <col min="9219" max="9219" width="12" style="10" bestFit="1" customWidth="1"/>
    <col min="9220" max="9223" width="9.109375" style="10"/>
    <col min="9224" max="9224" width="17.33203125" style="10" customWidth="1"/>
    <col min="9225" max="9227" width="9.6640625" style="10" customWidth="1"/>
    <col min="9228" max="9228" width="15" style="10" customWidth="1"/>
    <col min="9229" max="9474" width="9.109375" style="10"/>
    <col min="9475" max="9475" width="12" style="10" bestFit="1" customWidth="1"/>
    <col min="9476" max="9479" width="9.109375" style="10"/>
    <col min="9480" max="9480" width="17.33203125" style="10" customWidth="1"/>
    <col min="9481" max="9483" width="9.6640625" style="10" customWidth="1"/>
    <col min="9484" max="9484" width="15" style="10" customWidth="1"/>
    <col min="9485" max="9730" width="9.109375" style="10"/>
    <col min="9731" max="9731" width="12" style="10" bestFit="1" customWidth="1"/>
    <col min="9732" max="9735" width="9.109375" style="10"/>
    <col min="9736" max="9736" width="17.33203125" style="10" customWidth="1"/>
    <col min="9737" max="9739" width="9.6640625" style="10" customWidth="1"/>
    <col min="9740" max="9740" width="15" style="10" customWidth="1"/>
    <col min="9741" max="9986" width="9.109375" style="10"/>
    <col min="9987" max="9987" width="12" style="10" bestFit="1" customWidth="1"/>
    <col min="9988" max="9991" width="9.109375" style="10"/>
    <col min="9992" max="9992" width="17.33203125" style="10" customWidth="1"/>
    <col min="9993" max="9995" width="9.6640625" style="10" customWidth="1"/>
    <col min="9996" max="9996" width="15" style="10" customWidth="1"/>
    <col min="9997" max="10242" width="9.109375" style="10"/>
    <col min="10243" max="10243" width="12" style="10" bestFit="1" customWidth="1"/>
    <col min="10244" max="10247" width="9.109375" style="10"/>
    <col min="10248" max="10248" width="17.33203125" style="10" customWidth="1"/>
    <col min="10249" max="10251" width="9.6640625" style="10" customWidth="1"/>
    <col min="10252" max="10252" width="15" style="10" customWidth="1"/>
    <col min="10253" max="10498" width="9.109375" style="10"/>
    <col min="10499" max="10499" width="12" style="10" bestFit="1" customWidth="1"/>
    <col min="10500" max="10503" width="9.109375" style="10"/>
    <col min="10504" max="10504" width="17.33203125" style="10" customWidth="1"/>
    <col min="10505" max="10507" width="9.6640625" style="10" customWidth="1"/>
    <col min="10508" max="10508" width="15" style="10" customWidth="1"/>
    <col min="10509" max="10754" width="9.109375" style="10"/>
    <col min="10755" max="10755" width="12" style="10" bestFit="1" customWidth="1"/>
    <col min="10756" max="10759" width="9.109375" style="10"/>
    <col min="10760" max="10760" width="17.33203125" style="10" customWidth="1"/>
    <col min="10761" max="10763" width="9.6640625" style="10" customWidth="1"/>
    <col min="10764" max="10764" width="15" style="10" customWidth="1"/>
    <col min="10765" max="11010" width="9.109375" style="10"/>
    <col min="11011" max="11011" width="12" style="10" bestFit="1" customWidth="1"/>
    <col min="11012" max="11015" width="9.109375" style="10"/>
    <col min="11016" max="11016" width="17.33203125" style="10" customWidth="1"/>
    <col min="11017" max="11019" width="9.6640625" style="10" customWidth="1"/>
    <col min="11020" max="11020" width="15" style="10" customWidth="1"/>
    <col min="11021" max="11266" width="9.109375" style="10"/>
    <col min="11267" max="11267" width="12" style="10" bestFit="1" customWidth="1"/>
    <col min="11268" max="11271" width="9.109375" style="10"/>
    <col min="11272" max="11272" width="17.33203125" style="10" customWidth="1"/>
    <col min="11273" max="11275" width="9.6640625" style="10" customWidth="1"/>
    <col min="11276" max="11276" width="15" style="10" customWidth="1"/>
    <col min="11277" max="11522" width="9.109375" style="10"/>
    <col min="11523" max="11523" width="12" style="10" bestFit="1" customWidth="1"/>
    <col min="11524" max="11527" width="9.109375" style="10"/>
    <col min="11528" max="11528" width="17.33203125" style="10" customWidth="1"/>
    <col min="11529" max="11531" width="9.6640625" style="10" customWidth="1"/>
    <col min="11532" max="11532" width="15" style="10" customWidth="1"/>
    <col min="11533" max="11778" width="9.109375" style="10"/>
    <col min="11779" max="11779" width="12" style="10" bestFit="1" customWidth="1"/>
    <col min="11780" max="11783" width="9.109375" style="10"/>
    <col min="11784" max="11784" width="17.33203125" style="10" customWidth="1"/>
    <col min="11785" max="11787" width="9.6640625" style="10" customWidth="1"/>
    <col min="11788" max="11788" width="15" style="10" customWidth="1"/>
    <col min="11789" max="12034" width="9.109375" style="10"/>
    <col min="12035" max="12035" width="12" style="10" bestFit="1" customWidth="1"/>
    <col min="12036" max="12039" width="9.109375" style="10"/>
    <col min="12040" max="12040" width="17.33203125" style="10" customWidth="1"/>
    <col min="12041" max="12043" width="9.6640625" style="10" customWidth="1"/>
    <col min="12044" max="12044" width="15" style="10" customWidth="1"/>
    <col min="12045" max="12290" width="9.109375" style="10"/>
    <col min="12291" max="12291" width="12" style="10" bestFit="1" customWidth="1"/>
    <col min="12292" max="12295" width="9.109375" style="10"/>
    <col min="12296" max="12296" width="17.33203125" style="10" customWidth="1"/>
    <col min="12297" max="12299" width="9.6640625" style="10" customWidth="1"/>
    <col min="12300" max="12300" width="15" style="10" customWidth="1"/>
    <col min="12301" max="12546" width="9.109375" style="10"/>
    <col min="12547" max="12547" width="12" style="10" bestFit="1" customWidth="1"/>
    <col min="12548" max="12551" width="9.109375" style="10"/>
    <col min="12552" max="12552" width="17.33203125" style="10" customWidth="1"/>
    <col min="12553" max="12555" width="9.6640625" style="10" customWidth="1"/>
    <col min="12556" max="12556" width="15" style="10" customWidth="1"/>
    <col min="12557" max="12802" width="9.109375" style="10"/>
    <col min="12803" max="12803" width="12" style="10" bestFit="1" customWidth="1"/>
    <col min="12804" max="12807" width="9.109375" style="10"/>
    <col min="12808" max="12808" width="17.33203125" style="10" customWidth="1"/>
    <col min="12809" max="12811" width="9.6640625" style="10" customWidth="1"/>
    <col min="12812" max="12812" width="15" style="10" customWidth="1"/>
    <col min="12813" max="13058" width="9.109375" style="10"/>
    <col min="13059" max="13059" width="12" style="10" bestFit="1" customWidth="1"/>
    <col min="13060" max="13063" width="9.109375" style="10"/>
    <col min="13064" max="13064" width="17.33203125" style="10" customWidth="1"/>
    <col min="13065" max="13067" width="9.6640625" style="10" customWidth="1"/>
    <col min="13068" max="13068" width="15" style="10" customWidth="1"/>
    <col min="13069" max="13314" width="9.109375" style="10"/>
    <col min="13315" max="13315" width="12" style="10" bestFit="1" customWidth="1"/>
    <col min="13316" max="13319" width="9.109375" style="10"/>
    <col min="13320" max="13320" width="17.33203125" style="10" customWidth="1"/>
    <col min="13321" max="13323" width="9.6640625" style="10" customWidth="1"/>
    <col min="13324" max="13324" width="15" style="10" customWidth="1"/>
    <col min="13325" max="13570" width="9.109375" style="10"/>
    <col min="13571" max="13571" width="12" style="10" bestFit="1" customWidth="1"/>
    <col min="13572" max="13575" width="9.109375" style="10"/>
    <col min="13576" max="13576" width="17.33203125" style="10" customWidth="1"/>
    <col min="13577" max="13579" width="9.6640625" style="10" customWidth="1"/>
    <col min="13580" max="13580" width="15" style="10" customWidth="1"/>
    <col min="13581" max="13826" width="9.109375" style="10"/>
    <col min="13827" max="13827" width="12" style="10" bestFit="1" customWidth="1"/>
    <col min="13828" max="13831" width="9.109375" style="10"/>
    <col min="13832" max="13832" width="17.33203125" style="10" customWidth="1"/>
    <col min="13833" max="13835" width="9.6640625" style="10" customWidth="1"/>
    <col min="13836" max="13836" width="15" style="10" customWidth="1"/>
    <col min="13837" max="14082" width="9.109375" style="10"/>
    <col min="14083" max="14083" width="12" style="10" bestFit="1" customWidth="1"/>
    <col min="14084" max="14087" width="9.109375" style="10"/>
    <col min="14088" max="14088" width="17.33203125" style="10" customWidth="1"/>
    <col min="14089" max="14091" width="9.6640625" style="10" customWidth="1"/>
    <col min="14092" max="14092" width="15" style="10" customWidth="1"/>
    <col min="14093" max="14338" width="9.109375" style="10"/>
    <col min="14339" max="14339" width="12" style="10" bestFit="1" customWidth="1"/>
    <col min="14340" max="14343" width="9.109375" style="10"/>
    <col min="14344" max="14344" width="17.33203125" style="10" customWidth="1"/>
    <col min="14345" max="14347" width="9.6640625" style="10" customWidth="1"/>
    <col min="14348" max="14348" width="15" style="10" customWidth="1"/>
    <col min="14349" max="14594" width="9.109375" style="10"/>
    <col min="14595" max="14595" width="12" style="10" bestFit="1" customWidth="1"/>
    <col min="14596" max="14599" width="9.109375" style="10"/>
    <col min="14600" max="14600" width="17.33203125" style="10" customWidth="1"/>
    <col min="14601" max="14603" width="9.6640625" style="10" customWidth="1"/>
    <col min="14604" max="14604" width="15" style="10" customWidth="1"/>
    <col min="14605" max="14850" width="9.109375" style="10"/>
    <col min="14851" max="14851" width="12" style="10" bestFit="1" customWidth="1"/>
    <col min="14852" max="14855" width="9.109375" style="10"/>
    <col min="14856" max="14856" width="17.33203125" style="10" customWidth="1"/>
    <col min="14857" max="14859" width="9.6640625" style="10" customWidth="1"/>
    <col min="14860" max="14860" width="15" style="10" customWidth="1"/>
    <col min="14861" max="15106" width="9.109375" style="10"/>
    <col min="15107" max="15107" width="12" style="10" bestFit="1" customWidth="1"/>
    <col min="15108" max="15111" width="9.109375" style="10"/>
    <col min="15112" max="15112" width="17.33203125" style="10" customWidth="1"/>
    <col min="15113" max="15115" width="9.6640625" style="10" customWidth="1"/>
    <col min="15116" max="15116" width="15" style="10" customWidth="1"/>
    <col min="15117" max="15362" width="9.109375" style="10"/>
    <col min="15363" max="15363" width="12" style="10" bestFit="1" customWidth="1"/>
    <col min="15364" max="15367" width="9.109375" style="10"/>
    <col min="15368" max="15368" width="17.33203125" style="10" customWidth="1"/>
    <col min="15369" max="15371" width="9.6640625" style="10" customWidth="1"/>
    <col min="15372" max="15372" width="15" style="10" customWidth="1"/>
    <col min="15373" max="15618" width="9.109375" style="10"/>
    <col min="15619" max="15619" width="12" style="10" bestFit="1" customWidth="1"/>
    <col min="15620" max="15623" width="9.109375" style="10"/>
    <col min="15624" max="15624" width="17.33203125" style="10" customWidth="1"/>
    <col min="15625" max="15627" width="9.6640625" style="10" customWidth="1"/>
    <col min="15628" max="15628" width="15" style="10" customWidth="1"/>
    <col min="15629" max="15874" width="9.109375" style="10"/>
    <col min="15875" max="15875" width="12" style="10" bestFit="1" customWidth="1"/>
    <col min="15876" max="15879" width="9.109375" style="10"/>
    <col min="15880" max="15880" width="17.33203125" style="10" customWidth="1"/>
    <col min="15881" max="15883" width="9.6640625" style="10" customWidth="1"/>
    <col min="15884" max="15884" width="15" style="10" customWidth="1"/>
    <col min="15885" max="16130" width="9.109375" style="10"/>
    <col min="16131" max="16131" width="12" style="10" bestFit="1" customWidth="1"/>
    <col min="16132" max="16135" width="9.109375" style="10"/>
    <col min="16136" max="16136" width="17.33203125" style="10" customWidth="1"/>
    <col min="16137" max="16139" width="9.6640625" style="10" customWidth="1"/>
    <col min="16140" max="16140" width="15" style="10" customWidth="1"/>
    <col min="16141" max="16384" width="9.109375" style="10"/>
  </cols>
  <sheetData>
    <row r="1" spans="1:12" ht="15.6">
      <c r="L1" s="275" t="s">
        <v>274</v>
      </c>
    </row>
    <row r="2" spans="1:12" ht="8.25" customHeight="1">
      <c r="L2" s="94"/>
    </row>
    <row r="3" spans="1:12" ht="15.75" customHeight="1">
      <c r="A3" s="95" t="str">
        <f>'Pg 5 Add. Duties'!A3</f>
        <v>X.002-180-2024/1RF</v>
      </c>
      <c r="B3" s="96"/>
      <c r="C3" s="276"/>
      <c r="D3" s="98"/>
      <c r="E3" s="98"/>
      <c r="F3" s="1392">
        <f>'F1  Cover'!L8</f>
        <v>46053</v>
      </c>
      <c r="G3" s="1392"/>
      <c r="H3" s="1408" t="s">
        <v>207</v>
      </c>
      <c r="I3" s="1408"/>
      <c r="J3" s="1408"/>
      <c r="K3" s="1409">
        <f>'F1  Cover'!K8</f>
        <v>1</v>
      </c>
      <c r="L3" s="1410"/>
    </row>
    <row r="4" spans="1:12" ht="15.75" customHeight="1" thickBot="1"/>
    <row r="5" spans="1:12" ht="15.75" customHeight="1">
      <c r="A5" s="193"/>
      <c r="B5" s="194"/>
      <c r="C5" s="194"/>
      <c r="D5" s="194"/>
      <c r="E5" s="194"/>
      <c r="F5" s="194"/>
      <c r="G5" s="194"/>
      <c r="H5" s="194"/>
      <c r="I5" s="194"/>
      <c r="J5" s="194"/>
      <c r="K5" s="194"/>
      <c r="L5" s="277"/>
    </row>
    <row r="6" spans="1:12" ht="15.75" customHeight="1">
      <c r="A6" s="1349" t="s">
        <v>386</v>
      </c>
      <c r="B6" s="1350"/>
      <c r="C6" s="1350"/>
      <c r="D6" s="1350"/>
      <c r="E6" s="1350"/>
      <c r="F6" s="1350"/>
      <c r="G6" s="1350"/>
      <c r="H6" s="1350"/>
      <c r="I6" s="1350"/>
      <c r="J6" s="1350"/>
      <c r="K6" s="1350"/>
      <c r="L6" s="1351"/>
    </row>
    <row r="7" spans="1:12" ht="15.75" customHeight="1" thickBot="1">
      <c r="A7" s="278"/>
      <c r="L7" s="279"/>
    </row>
    <row r="8" spans="1:12" ht="15.75" customHeight="1" thickBot="1">
      <c r="A8" s="1411" t="s">
        <v>0</v>
      </c>
      <c r="B8" s="1412"/>
      <c r="C8" s="1412"/>
      <c r="D8" s="1412"/>
      <c r="E8" s="1412"/>
      <c r="F8" s="1412"/>
      <c r="G8" s="1412"/>
      <c r="H8" s="1413"/>
      <c r="I8" s="292" t="s">
        <v>1</v>
      </c>
      <c r="J8" s="292" t="s">
        <v>2</v>
      </c>
      <c r="K8" s="292" t="s">
        <v>3</v>
      </c>
      <c r="L8" s="293" t="s">
        <v>231</v>
      </c>
    </row>
    <row r="9" spans="1:12" ht="12.75" customHeight="1">
      <c r="A9" s="1414" t="s">
        <v>275</v>
      </c>
      <c r="B9" s="1415"/>
      <c r="C9" s="1415"/>
      <c r="D9" s="1415"/>
      <c r="E9" s="1415"/>
      <c r="F9" s="1415"/>
      <c r="G9" s="1415"/>
      <c r="H9" s="1416"/>
      <c r="I9" s="286"/>
      <c r="J9" s="286"/>
      <c r="K9" s="286"/>
      <c r="L9" s="287"/>
    </row>
    <row r="10" spans="1:12" ht="12.75" customHeight="1">
      <c r="A10" s="1414" t="s">
        <v>387</v>
      </c>
      <c r="B10" s="1415"/>
      <c r="C10" s="1415"/>
      <c r="D10" s="1415"/>
      <c r="E10" s="1415"/>
      <c r="F10" s="1415"/>
      <c r="G10" s="1415"/>
      <c r="H10" s="1416"/>
      <c r="I10" s="286"/>
      <c r="J10" s="286"/>
      <c r="K10" s="286"/>
      <c r="L10" s="287"/>
    </row>
    <row r="11" spans="1:12">
      <c r="A11" s="1417" t="s">
        <v>213</v>
      </c>
      <c r="B11" s="1418"/>
      <c r="C11" s="1418"/>
      <c r="D11" s="1418"/>
      <c r="E11" s="1418"/>
      <c r="F11" s="1418"/>
      <c r="G11" s="1418"/>
      <c r="H11" s="1419"/>
      <c r="I11" s="285"/>
      <c r="J11" s="285"/>
      <c r="K11" s="285"/>
      <c r="L11" s="288"/>
    </row>
    <row r="12" spans="1:12">
      <c r="A12" s="1405"/>
      <c r="B12" s="1406"/>
      <c r="C12" s="1406"/>
      <c r="D12" s="1406"/>
      <c r="E12" s="1406"/>
      <c r="F12" s="1406"/>
      <c r="G12" s="1406"/>
      <c r="H12" s="1407"/>
      <c r="I12" s="285"/>
      <c r="J12" s="285"/>
      <c r="K12" s="285"/>
      <c r="L12" s="288"/>
    </row>
    <row r="13" spans="1:12">
      <c r="A13" s="1405"/>
      <c r="B13" s="1406"/>
      <c r="C13" s="1406"/>
      <c r="D13" s="1406"/>
      <c r="E13" s="1406"/>
      <c r="F13" s="1406"/>
      <c r="G13" s="1406"/>
      <c r="H13" s="1407"/>
      <c r="I13" s="285"/>
      <c r="J13" s="285"/>
      <c r="K13" s="285"/>
      <c r="L13" s="288"/>
    </row>
    <row r="14" spans="1:12">
      <c r="A14" s="1405"/>
      <c r="B14" s="1406"/>
      <c r="C14" s="1406"/>
      <c r="D14" s="1406"/>
      <c r="E14" s="1406"/>
      <c r="F14" s="1406"/>
      <c r="G14" s="1406"/>
      <c r="H14" s="1407"/>
      <c r="I14" s="285"/>
      <c r="J14" s="285"/>
      <c r="K14" s="285"/>
      <c r="L14" s="288"/>
    </row>
    <row r="15" spans="1:12">
      <c r="A15" s="1405"/>
      <c r="B15" s="1406"/>
      <c r="C15" s="1406"/>
      <c r="D15" s="1406"/>
      <c r="E15" s="1406"/>
      <c r="F15" s="1406"/>
      <c r="G15" s="1406"/>
      <c r="H15" s="1407"/>
      <c r="I15" s="285"/>
      <c r="J15" s="285"/>
      <c r="K15" s="285"/>
      <c r="L15" s="288"/>
    </row>
    <row r="16" spans="1:12">
      <c r="A16" s="1405"/>
      <c r="B16" s="1406"/>
      <c r="C16" s="1406"/>
      <c r="D16" s="1406"/>
      <c r="E16" s="1406"/>
      <c r="F16" s="1406"/>
      <c r="G16" s="1406"/>
      <c r="H16" s="1407"/>
      <c r="I16" s="285"/>
      <c r="J16" s="285"/>
      <c r="K16" s="285"/>
      <c r="L16" s="288"/>
    </row>
    <row r="17" spans="1:12">
      <c r="A17" s="1405"/>
      <c r="B17" s="1406"/>
      <c r="C17" s="1406"/>
      <c r="D17" s="1406"/>
      <c r="E17" s="1406"/>
      <c r="F17" s="1406"/>
      <c r="G17" s="1406"/>
      <c r="H17" s="1407"/>
      <c r="I17" s="285"/>
      <c r="J17" s="285"/>
      <c r="K17" s="285"/>
      <c r="L17" s="288"/>
    </row>
    <row r="18" spans="1:12">
      <c r="A18" s="1462"/>
      <c r="B18" s="1463"/>
      <c r="C18" s="1463"/>
      <c r="D18" s="1463"/>
      <c r="E18" s="1463"/>
      <c r="F18" s="1463"/>
      <c r="G18" s="1463"/>
      <c r="H18" s="1464"/>
      <c r="I18" s="1465" t="s">
        <v>276</v>
      </c>
      <c r="J18" s="1466"/>
      <c r="K18" s="1467"/>
      <c r="L18" s="289"/>
    </row>
    <row r="19" spans="1:12">
      <c r="A19" s="1468" t="s">
        <v>277</v>
      </c>
      <c r="B19" s="1469"/>
      <c r="C19" s="1469"/>
      <c r="D19" s="1469"/>
      <c r="E19" s="1469"/>
      <c r="F19" s="1469"/>
      <c r="G19" s="1469"/>
      <c r="H19" s="1470"/>
      <c r="I19" s="284"/>
      <c r="J19" s="284"/>
      <c r="K19" s="284"/>
      <c r="L19" s="289"/>
    </row>
    <row r="20" spans="1:12">
      <c r="A20" s="1471" t="s">
        <v>388</v>
      </c>
      <c r="B20" s="1472"/>
      <c r="C20" s="1472"/>
      <c r="D20" s="1472"/>
      <c r="E20" s="1472"/>
      <c r="F20" s="1472"/>
      <c r="G20" s="1472"/>
      <c r="H20" s="1473"/>
      <c r="I20" s="285"/>
      <c r="J20" s="285"/>
      <c r="K20" s="285"/>
      <c r="L20" s="288"/>
    </row>
    <row r="21" spans="1:12">
      <c r="A21" s="1405" t="s">
        <v>213</v>
      </c>
      <c r="B21" s="1406"/>
      <c r="C21" s="1406"/>
      <c r="D21" s="1406"/>
      <c r="E21" s="1406"/>
      <c r="F21" s="1406"/>
      <c r="G21" s="1406"/>
      <c r="H21" s="1407"/>
      <c r="I21" s="285"/>
      <c r="J21" s="285"/>
      <c r="K21" s="285"/>
      <c r="L21" s="288"/>
    </row>
    <row r="22" spans="1:12">
      <c r="A22" s="1405"/>
      <c r="B22" s="1406"/>
      <c r="C22" s="1406"/>
      <c r="D22" s="1406"/>
      <c r="E22" s="1406"/>
      <c r="F22" s="1406"/>
      <c r="G22" s="1406"/>
      <c r="H22" s="1407"/>
      <c r="I22" s="285"/>
      <c r="J22" s="285"/>
      <c r="K22" s="285"/>
      <c r="L22" s="288"/>
    </row>
    <row r="23" spans="1:12">
      <c r="A23" s="1405"/>
      <c r="B23" s="1406"/>
      <c r="C23" s="1406"/>
      <c r="D23" s="1406"/>
      <c r="E23" s="1406"/>
      <c r="F23" s="1406"/>
      <c r="G23" s="1406"/>
      <c r="H23" s="1407"/>
      <c r="I23" s="285"/>
      <c r="J23" s="285"/>
      <c r="K23" s="285"/>
      <c r="L23" s="288"/>
    </row>
    <row r="24" spans="1:12">
      <c r="A24" s="1405"/>
      <c r="B24" s="1406"/>
      <c r="C24" s="1406"/>
      <c r="D24" s="1406"/>
      <c r="E24" s="1406"/>
      <c r="F24" s="1406"/>
      <c r="G24" s="1406"/>
      <c r="H24" s="1407"/>
      <c r="I24" s="285"/>
      <c r="J24" s="285"/>
      <c r="K24" s="285"/>
      <c r="L24" s="288"/>
    </row>
    <row r="25" spans="1:12">
      <c r="A25" s="1405"/>
      <c r="B25" s="1406"/>
      <c r="C25" s="1406"/>
      <c r="D25" s="1406"/>
      <c r="E25" s="1406"/>
      <c r="F25" s="1406"/>
      <c r="G25" s="1406"/>
      <c r="H25" s="1407"/>
      <c r="I25" s="285"/>
      <c r="J25" s="285"/>
      <c r="K25" s="285"/>
      <c r="L25" s="288"/>
    </row>
    <row r="26" spans="1:12">
      <c r="A26" s="1405"/>
      <c r="B26" s="1406"/>
      <c r="C26" s="1406"/>
      <c r="D26" s="1406"/>
      <c r="E26" s="1406"/>
      <c r="F26" s="1406"/>
      <c r="G26" s="1406"/>
      <c r="H26" s="1407"/>
      <c r="I26" s="285"/>
      <c r="J26" s="285"/>
      <c r="K26" s="285"/>
      <c r="L26" s="288"/>
    </row>
    <row r="27" spans="1:12">
      <c r="A27" s="1405"/>
      <c r="B27" s="1406"/>
      <c r="C27" s="1406"/>
      <c r="D27" s="1406"/>
      <c r="E27" s="1406"/>
      <c r="F27" s="1406"/>
      <c r="G27" s="1406"/>
      <c r="H27" s="1407"/>
      <c r="I27" s="285"/>
      <c r="J27" s="285"/>
      <c r="K27" s="285"/>
      <c r="L27" s="288"/>
    </row>
    <row r="28" spans="1:12">
      <c r="A28" s="1405"/>
      <c r="B28" s="1406"/>
      <c r="C28" s="1406"/>
      <c r="D28" s="1406"/>
      <c r="E28" s="1406"/>
      <c r="F28" s="1406"/>
      <c r="G28" s="1406"/>
      <c r="H28" s="1407"/>
      <c r="I28" s="285"/>
      <c r="J28" s="285"/>
      <c r="K28" s="285"/>
      <c r="L28" s="288"/>
    </row>
    <row r="29" spans="1:12">
      <c r="A29" s="1462"/>
      <c r="B29" s="1463"/>
      <c r="C29" s="1463"/>
      <c r="D29" s="1463"/>
      <c r="E29" s="1463"/>
      <c r="F29" s="1463"/>
      <c r="G29" s="1463"/>
      <c r="H29" s="1464"/>
      <c r="I29" s="1465" t="s">
        <v>278</v>
      </c>
      <c r="J29" s="1466"/>
      <c r="K29" s="1467"/>
      <c r="L29" s="289"/>
    </row>
    <row r="30" spans="1:12">
      <c r="A30" s="1462"/>
      <c r="B30" s="1463"/>
      <c r="C30" s="1463"/>
      <c r="D30" s="1463"/>
      <c r="E30" s="1463"/>
      <c r="F30" s="1463"/>
      <c r="G30" s="1463"/>
      <c r="H30" s="1464"/>
      <c r="I30" s="284"/>
      <c r="J30" s="284"/>
      <c r="K30" s="284"/>
      <c r="L30" s="289"/>
    </row>
    <row r="31" spans="1:12">
      <c r="A31" s="1452" t="s">
        <v>279</v>
      </c>
      <c r="B31" s="1453"/>
      <c r="C31" s="1453"/>
      <c r="D31" s="1453"/>
      <c r="E31" s="1453"/>
      <c r="F31" s="1453"/>
      <c r="G31" s="1453"/>
      <c r="H31" s="1454"/>
      <c r="I31" s="284"/>
      <c r="J31" s="284"/>
      <c r="K31" s="284"/>
      <c r="L31" s="289">
        <f>L18</f>
        <v>0</v>
      </c>
    </row>
    <row r="32" spans="1:12" ht="13.8" thickBot="1">
      <c r="A32" s="1452" t="s">
        <v>280</v>
      </c>
      <c r="B32" s="1453"/>
      <c r="C32" s="1453"/>
      <c r="D32" s="1453"/>
      <c r="E32" s="1453"/>
      <c r="F32" s="1453"/>
      <c r="G32" s="1453"/>
      <c r="H32" s="1454"/>
      <c r="I32" s="284"/>
      <c r="J32" s="284"/>
      <c r="K32" s="520"/>
      <c r="L32" s="290">
        <f>L29</f>
        <v>0</v>
      </c>
    </row>
    <row r="33" spans="1:12" ht="21" customHeight="1" thickBot="1">
      <c r="A33" s="1432" t="s">
        <v>281</v>
      </c>
      <c r="B33" s="1433"/>
      <c r="C33" s="1433"/>
      <c r="D33" s="1433"/>
      <c r="E33" s="1433"/>
      <c r="F33" s="1433"/>
      <c r="G33" s="1433"/>
      <c r="H33" s="1433"/>
      <c r="I33" s="1433"/>
      <c r="J33" s="1433"/>
      <c r="K33" s="1434"/>
      <c r="L33" s="295">
        <f>L31+L32</f>
        <v>0</v>
      </c>
    </row>
  </sheetData>
  <mergeCells count="32">
    <mergeCell ref="A33:K33"/>
    <mergeCell ref="A28:H28"/>
    <mergeCell ref="A29:H29"/>
    <mergeCell ref="I29:K29"/>
    <mergeCell ref="A30:H30"/>
    <mergeCell ref="A31:H31"/>
    <mergeCell ref="A32:H32"/>
    <mergeCell ref="A27:H27"/>
    <mergeCell ref="A17:H17"/>
    <mergeCell ref="A18:H18"/>
    <mergeCell ref="I18:K18"/>
    <mergeCell ref="A19:H19"/>
    <mergeCell ref="A20:H20"/>
    <mergeCell ref="A21:H21"/>
    <mergeCell ref="A22:H22"/>
    <mergeCell ref="A23:H23"/>
    <mergeCell ref="A24:H24"/>
    <mergeCell ref="A25:H25"/>
    <mergeCell ref="A26:H26"/>
    <mergeCell ref="A16:H16"/>
    <mergeCell ref="H3:J3"/>
    <mergeCell ref="K3:L3"/>
    <mergeCell ref="A6:L6"/>
    <mergeCell ref="A8:H8"/>
    <mergeCell ref="A9:H9"/>
    <mergeCell ref="A10:H10"/>
    <mergeCell ref="A11:H11"/>
    <mergeCell ref="A12:H12"/>
    <mergeCell ref="A13:H13"/>
    <mergeCell ref="A14:H14"/>
    <mergeCell ref="A15:H15"/>
    <mergeCell ref="F3:G3"/>
  </mergeCells>
  <pageMargins left="0.35433070866141736" right="0.15748031496062992" top="0.59055118110236227" bottom="0.59055118110236227" header="0.51181102362204722" footer="0.51181102362204722"/>
  <pageSetup paperSize="9" orientation="landscape" blackAndWhite="1" r:id="rId1"/>
  <headerFooter alignWithMargins="0">
    <oddHeader>&amp;L&amp;"Calibri"&amp;10&amp;K000000 Sensitivity - General&amp;1#_x000D_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3">
    <tabColor rgb="FF0070C0"/>
    <pageSetUpPr fitToPage="1"/>
  </sheetPr>
  <dimension ref="A1:L33"/>
  <sheetViews>
    <sheetView zoomScale="75" zoomScaleNormal="75" zoomScaleSheetLayoutView="75" workbookViewId="0">
      <selection sqref="A1:E1"/>
    </sheetView>
  </sheetViews>
  <sheetFormatPr defaultRowHeight="13.2"/>
  <cols>
    <col min="1" max="2" width="9.109375" style="10"/>
    <col min="3" max="3" width="12" style="10" bestFit="1" customWidth="1"/>
    <col min="4" max="7" width="9.109375" style="10"/>
    <col min="8" max="8" width="17.33203125" style="10" customWidth="1"/>
    <col min="9" max="11" width="9.6640625" style="10" customWidth="1"/>
    <col min="12" max="12" width="15" style="10" customWidth="1"/>
    <col min="13" max="258" width="9.109375" style="10"/>
    <col min="259" max="259" width="12" style="10" bestFit="1" customWidth="1"/>
    <col min="260" max="263" width="9.109375" style="10"/>
    <col min="264" max="264" width="17.33203125" style="10" customWidth="1"/>
    <col min="265" max="267" width="9.6640625" style="10" customWidth="1"/>
    <col min="268" max="268" width="15" style="10" customWidth="1"/>
    <col min="269" max="514" width="9.109375" style="10"/>
    <col min="515" max="515" width="12" style="10" bestFit="1" customWidth="1"/>
    <col min="516" max="519" width="9.109375" style="10"/>
    <col min="520" max="520" width="17.33203125" style="10" customWidth="1"/>
    <col min="521" max="523" width="9.6640625" style="10" customWidth="1"/>
    <col min="524" max="524" width="15" style="10" customWidth="1"/>
    <col min="525" max="770" width="9.109375" style="10"/>
    <col min="771" max="771" width="12" style="10" bestFit="1" customWidth="1"/>
    <col min="772" max="775" width="9.109375" style="10"/>
    <col min="776" max="776" width="17.33203125" style="10" customWidth="1"/>
    <col min="777" max="779" width="9.6640625" style="10" customWidth="1"/>
    <col min="780" max="780" width="15" style="10" customWidth="1"/>
    <col min="781" max="1026" width="9.109375" style="10"/>
    <col min="1027" max="1027" width="12" style="10" bestFit="1" customWidth="1"/>
    <col min="1028" max="1031" width="9.109375" style="10"/>
    <col min="1032" max="1032" width="17.33203125" style="10" customWidth="1"/>
    <col min="1033" max="1035" width="9.6640625" style="10" customWidth="1"/>
    <col min="1036" max="1036" width="15" style="10" customWidth="1"/>
    <col min="1037" max="1282" width="9.109375" style="10"/>
    <col min="1283" max="1283" width="12" style="10" bestFit="1" customWidth="1"/>
    <col min="1284" max="1287" width="9.109375" style="10"/>
    <col min="1288" max="1288" width="17.33203125" style="10" customWidth="1"/>
    <col min="1289" max="1291" width="9.6640625" style="10" customWidth="1"/>
    <col min="1292" max="1292" width="15" style="10" customWidth="1"/>
    <col min="1293" max="1538" width="9.109375" style="10"/>
    <col min="1539" max="1539" width="12" style="10" bestFit="1" customWidth="1"/>
    <col min="1540" max="1543" width="9.109375" style="10"/>
    <col min="1544" max="1544" width="17.33203125" style="10" customWidth="1"/>
    <col min="1545" max="1547" width="9.6640625" style="10" customWidth="1"/>
    <col min="1548" max="1548" width="15" style="10" customWidth="1"/>
    <col min="1549" max="1794" width="9.109375" style="10"/>
    <col min="1795" max="1795" width="12" style="10" bestFit="1" customWidth="1"/>
    <col min="1796" max="1799" width="9.109375" style="10"/>
    <col min="1800" max="1800" width="17.33203125" style="10" customWidth="1"/>
    <col min="1801" max="1803" width="9.6640625" style="10" customWidth="1"/>
    <col min="1804" max="1804" width="15" style="10" customWidth="1"/>
    <col min="1805" max="2050" width="9.109375" style="10"/>
    <col min="2051" max="2051" width="12" style="10" bestFit="1" customWidth="1"/>
    <col min="2052" max="2055" width="9.109375" style="10"/>
    <col min="2056" max="2056" width="17.33203125" style="10" customWidth="1"/>
    <col min="2057" max="2059" width="9.6640625" style="10" customWidth="1"/>
    <col min="2060" max="2060" width="15" style="10" customWidth="1"/>
    <col min="2061" max="2306" width="9.109375" style="10"/>
    <col min="2307" max="2307" width="12" style="10" bestFit="1" customWidth="1"/>
    <col min="2308" max="2311" width="9.109375" style="10"/>
    <col min="2312" max="2312" width="17.33203125" style="10" customWidth="1"/>
    <col min="2313" max="2315" width="9.6640625" style="10" customWidth="1"/>
    <col min="2316" max="2316" width="15" style="10" customWidth="1"/>
    <col min="2317" max="2562" width="9.109375" style="10"/>
    <col min="2563" max="2563" width="12" style="10" bestFit="1" customWidth="1"/>
    <col min="2564" max="2567" width="9.109375" style="10"/>
    <col min="2568" max="2568" width="17.33203125" style="10" customWidth="1"/>
    <col min="2569" max="2571" width="9.6640625" style="10" customWidth="1"/>
    <col min="2572" max="2572" width="15" style="10" customWidth="1"/>
    <col min="2573" max="2818" width="9.109375" style="10"/>
    <col min="2819" max="2819" width="12" style="10" bestFit="1" customWidth="1"/>
    <col min="2820" max="2823" width="9.109375" style="10"/>
    <col min="2824" max="2824" width="17.33203125" style="10" customWidth="1"/>
    <col min="2825" max="2827" width="9.6640625" style="10" customWidth="1"/>
    <col min="2828" max="2828" width="15" style="10" customWidth="1"/>
    <col min="2829" max="3074" width="9.109375" style="10"/>
    <col min="3075" max="3075" width="12" style="10" bestFit="1" customWidth="1"/>
    <col min="3076" max="3079" width="9.109375" style="10"/>
    <col min="3080" max="3080" width="17.33203125" style="10" customWidth="1"/>
    <col min="3081" max="3083" width="9.6640625" style="10" customWidth="1"/>
    <col min="3084" max="3084" width="15" style="10" customWidth="1"/>
    <col min="3085" max="3330" width="9.109375" style="10"/>
    <col min="3331" max="3331" width="12" style="10" bestFit="1" customWidth="1"/>
    <col min="3332" max="3335" width="9.109375" style="10"/>
    <col min="3336" max="3336" width="17.33203125" style="10" customWidth="1"/>
    <col min="3337" max="3339" width="9.6640625" style="10" customWidth="1"/>
    <col min="3340" max="3340" width="15" style="10" customWidth="1"/>
    <col min="3341" max="3586" width="9.109375" style="10"/>
    <col min="3587" max="3587" width="12" style="10" bestFit="1" customWidth="1"/>
    <col min="3588" max="3591" width="9.109375" style="10"/>
    <col min="3592" max="3592" width="17.33203125" style="10" customWidth="1"/>
    <col min="3593" max="3595" width="9.6640625" style="10" customWidth="1"/>
    <col min="3596" max="3596" width="15" style="10" customWidth="1"/>
    <col min="3597" max="3842" width="9.109375" style="10"/>
    <col min="3843" max="3843" width="12" style="10" bestFit="1" customWidth="1"/>
    <col min="3844" max="3847" width="9.109375" style="10"/>
    <col min="3848" max="3848" width="17.33203125" style="10" customWidth="1"/>
    <col min="3849" max="3851" width="9.6640625" style="10" customWidth="1"/>
    <col min="3852" max="3852" width="15" style="10" customWidth="1"/>
    <col min="3853" max="4098" width="9.109375" style="10"/>
    <col min="4099" max="4099" width="12" style="10" bestFit="1" customWidth="1"/>
    <col min="4100" max="4103" width="9.109375" style="10"/>
    <col min="4104" max="4104" width="17.33203125" style="10" customWidth="1"/>
    <col min="4105" max="4107" width="9.6640625" style="10" customWidth="1"/>
    <col min="4108" max="4108" width="15" style="10" customWidth="1"/>
    <col min="4109" max="4354" width="9.109375" style="10"/>
    <col min="4355" max="4355" width="12" style="10" bestFit="1" customWidth="1"/>
    <col min="4356" max="4359" width="9.109375" style="10"/>
    <col min="4360" max="4360" width="17.33203125" style="10" customWidth="1"/>
    <col min="4361" max="4363" width="9.6640625" style="10" customWidth="1"/>
    <col min="4364" max="4364" width="15" style="10" customWidth="1"/>
    <col min="4365" max="4610" width="9.109375" style="10"/>
    <col min="4611" max="4611" width="12" style="10" bestFit="1" customWidth="1"/>
    <col min="4612" max="4615" width="9.109375" style="10"/>
    <col min="4616" max="4616" width="17.33203125" style="10" customWidth="1"/>
    <col min="4617" max="4619" width="9.6640625" style="10" customWidth="1"/>
    <col min="4620" max="4620" width="15" style="10" customWidth="1"/>
    <col min="4621" max="4866" width="9.109375" style="10"/>
    <col min="4867" max="4867" width="12" style="10" bestFit="1" customWidth="1"/>
    <col min="4868" max="4871" width="9.109375" style="10"/>
    <col min="4872" max="4872" width="17.33203125" style="10" customWidth="1"/>
    <col min="4873" max="4875" width="9.6640625" style="10" customWidth="1"/>
    <col min="4876" max="4876" width="15" style="10" customWidth="1"/>
    <col min="4877" max="5122" width="9.109375" style="10"/>
    <col min="5123" max="5123" width="12" style="10" bestFit="1" customWidth="1"/>
    <col min="5124" max="5127" width="9.109375" style="10"/>
    <col min="5128" max="5128" width="17.33203125" style="10" customWidth="1"/>
    <col min="5129" max="5131" width="9.6640625" style="10" customWidth="1"/>
    <col min="5132" max="5132" width="15" style="10" customWidth="1"/>
    <col min="5133" max="5378" width="9.109375" style="10"/>
    <col min="5379" max="5379" width="12" style="10" bestFit="1" customWidth="1"/>
    <col min="5380" max="5383" width="9.109375" style="10"/>
    <col min="5384" max="5384" width="17.33203125" style="10" customWidth="1"/>
    <col min="5385" max="5387" width="9.6640625" style="10" customWidth="1"/>
    <col min="5388" max="5388" width="15" style="10" customWidth="1"/>
    <col min="5389" max="5634" width="9.109375" style="10"/>
    <col min="5635" max="5635" width="12" style="10" bestFit="1" customWidth="1"/>
    <col min="5636" max="5639" width="9.109375" style="10"/>
    <col min="5640" max="5640" width="17.33203125" style="10" customWidth="1"/>
    <col min="5641" max="5643" width="9.6640625" style="10" customWidth="1"/>
    <col min="5644" max="5644" width="15" style="10" customWidth="1"/>
    <col min="5645" max="5890" width="9.109375" style="10"/>
    <col min="5891" max="5891" width="12" style="10" bestFit="1" customWidth="1"/>
    <col min="5892" max="5895" width="9.109375" style="10"/>
    <col min="5896" max="5896" width="17.33203125" style="10" customWidth="1"/>
    <col min="5897" max="5899" width="9.6640625" style="10" customWidth="1"/>
    <col min="5900" max="5900" width="15" style="10" customWidth="1"/>
    <col min="5901" max="6146" width="9.109375" style="10"/>
    <col min="6147" max="6147" width="12" style="10" bestFit="1" customWidth="1"/>
    <col min="6148" max="6151" width="9.109375" style="10"/>
    <col min="6152" max="6152" width="17.33203125" style="10" customWidth="1"/>
    <col min="6153" max="6155" width="9.6640625" style="10" customWidth="1"/>
    <col min="6156" max="6156" width="15" style="10" customWidth="1"/>
    <col min="6157" max="6402" width="9.109375" style="10"/>
    <col min="6403" max="6403" width="12" style="10" bestFit="1" customWidth="1"/>
    <col min="6404" max="6407" width="9.109375" style="10"/>
    <col min="6408" max="6408" width="17.33203125" style="10" customWidth="1"/>
    <col min="6409" max="6411" width="9.6640625" style="10" customWidth="1"/>
    <col min="6412" max="6412" width="15" style="10" customWidth="1"/>
    <col min="6413" max="6658" width="9.109375" style="10"/>
    <col min="6659" max="6659" width="12" style="10" bestFit="1" customWidth="1"/>
    <col min="6660" max="6663" width="9.109375" style="10"/>
    <col min="6664" max="6664" width="17.33203125" style="10" customWidth="1"/>
    <col min="6665" max="6667" width="9.6640625" style="10" customWidth="1"/>
    <col min="6668" max="6668" width="15" style="10" customWidth="1"/>
    <col min="6669" max="6914" width="9.109375" style="10"/>
    <col min="6915" max="6915" width="12" style="10" bestFit="1" customWidth="1"/>
    <col min="6916" max="6919" width="9.109375" style="10"/>
    <col min="6920" max="6920" width="17.33203125" style="10" customWidth="1"/>
    <col min="6921" max="6923" width="9.6640625" style="10" customWidth="1"/>
    <col min="6924" max="6924" width="15" style="10" customWidth="1"/>
    <col min="6925" max="7170" width="9.109375" style="10"/>
    <col min="7171" max="7171" width="12" style="10" bestFit="1" customWidth="1"/>
    <col min="7172" max="7175" width="9.109375" style="10"/>
    <col min="7176" max="7176" width="17.33203125" style="10" customWidth="1"/>
    <col min="7177" max="7179" width="9.6640625" style="10" customWidth="1"/>
    <col min="7180" max="7180" width="15" style="10" customWidth="1"/>
    <col min="7181" max="7426" width="9.109375" style="10"/>
    <col min="7427" max="7427" width="12" style="10" bestFit="1" customWidth="1"/>
    <col min="7428" max="7431" width="9.109375" style="10"/>
    <col min="7432" max="7432" width="17.33203125" style="10" customWidth="1"/>
    <col min="7433" max="7435" width="9.6640625" style="10" customWidth="1"/>
    <col min="7436" max="7436" width="15" style="10" customWidth="1"/>
    <col min="7437" max="7682" width="9.109375" style="10"/>
    <col min="7683" max="7683" width="12" style="10" bestFit="1" customWidth="1"/>
    <col min="7684" max="7687" width="9.109375" style="10"/>
    <col min="7688" max="7688" width="17.33203125" style="10" customWidth="1"/>
    <col min="7689" max="7691" width="9.6640625" style="10" customWidth="1"/>
    <col min="7692" max="7692" width="15" style="10" customWidth="1"/>
    <col min="7693" max="7938" width="9.109375" style="10"/>
    <col min="7939" max="7939" width="12" style="10" bestFit="1" customWidth="1"/>
    <col min="7940" max="7943" width="9.109375" style="10"/>
    <col min="7944" max="7944" width="17.33203125" style="10" customWidth="1"/>
    <col min="7945" max="7947" width="9.6640625" style="10" customWidth="1"/>
    <col min="7948" max="7948" width="15" style="10" customWidth="1"/>
    <col min="7949" max="8194" width="9.109375" style="10"/>
    <col min="8195" max="8195" width="12" style="10" bestFit="1" customWidth="1"/>
    <col min="8196" max="8199" width="9.109375" style="10"/>
    <col min="8200" max="8200" width="17.33203125" style="10" customWidth="1"/>
    <col min="8201" max="8203" width="9.6640625" style="10" customWidth="1"/>
    <col min="8204" max="8204" width="15" style="10" customWidth="1"/>
    <col min="8205" max="8450" width="9.109375" style="10"/>
    <col min="8451" max="8451" width="12" style="10" bestFit="1" customWidth="1"/>
    <col min="8452" max="8455" width="9.109375" style="10"/>
    <col min="8456" max="8456" width="17.33203125" style="10" customWidth="1"/>
    <col min="8457" max="8459" width="9.6640625" style="10" customWidth="1"/>
    <col min="8460" max="8460" width="15" style="10" customWidth="1"/>
    <col min="8461" max="8706" width="9.109375" style="10"/>
    <col min="8707" max="8707" width="12" style="10" bestFit="1" customWidth="1"/>
    <col min="8708" max="8711" width="9.109375" style="10"/>
    <col min="8712" max="8712" width="17.33203125" style="10" customWidth="1"/>
    <col min="8713" max="8715" width="9.6640625" style="10" customWidth="1"/>
    <col min="8716" max="8716" width="15" style="10" customWidth="1"/>
    <col min="8717" max="8962" width="9.109375" style="10"/>
    <col min="8963" max="8963" width="12" style="10" bestFit="1" customWidth="1"/>
    <col min="8964" max="8967" width="9.109375" style="10"/>
    <col min="8968" max="8968" width="17.33203125" style="10" customWidth="1"/>
    <col min="8969" max="8971" width="9.6640625" style="10" customWidth="1"/>
    <col min="8972" max="8972" width="15" style="10" customWidth="1"/>
    <col min="8973" max="9218" width="9.109375" style="10"/>
    <col min="9219" max="9219" width="12" style="10" bestFit="1" customWidth="1"/>
    <col min="9220" max="9223" width="9.109375" style="10"/>
    <col min="9224" max="9224" width="17.33203125" style="10" customWidth="1"/>
    <col min="9225" max="9227" width="9.6640625" style="10" customWidth="1"/>
    <col min="9228" max="9228" width="15" style="10" customWidth="1"/>
    <col min="9229" max="9474" width="9.109375" style="10"/>
    <col min="9475" max="9475" width="12" style="10" bestFit="1" customWidth="1"/>
    <col min="9476" max="9479" width="9.109375" style="10"/>
    <col min="9480" max="9480" width="17.33203125" style="10" customWidth="1"/>
    <col min="9481" max="9483" width="9.6640625" style="10" customWidth="1"/>
    <col min="9484" max="9484" width="15" style="10" customWidth="1"/>
    <col min="9485" max="9730" width="9.109375" style="10"/>
    <col min="9731" max="9731" width="12" style="10" bestFit="1" customWidth="1"/>
    <col min="9732" max="9735" width="9.109375" style="10"/>
    <col min="9736" max="9736" width="17.33203125" style="10" customWidth="1"/>
    <col min="9737" max="9739" width="9.6640625" style="10" customWidth="1"/>
    <col min="9740" max="9740" width="15" style="10" customWidth="1"/>
    <col min="9741" max="9986" width="9.109375" style="10"/>
    <col min="9987" max="9987" width="12" style="10" bestFit="1" customWidth="1"/>
    <col min="9988" max="9991" width="9.109375" style="10"/>
    <col min="9992" max="9992" width="17.33203125" style="10" customWidth="1"/>
    <col min="9993" max="9995" width="9.6640625" style="10" customWidth="1"/>
    <col min="9996" max="9996" width="15" style="10" customWidth="1"/>
    <col min="9997" max="10242" width="9.109375" style="10"/>
    <col min="10243" max="10243" width="12" style="10" bestFit="1" customWidth="1"/>
    <col min="10244" max="10247" width="9.109375" style="10"/>
    <col min="10248" max="10248" width="17.33203125" style="10" customWidth="1"/>
    <col min="10249" max="10251" width="9.6640625" style="10" customWidth="1"/>
    <col min="10252" max="10252" width="15" style="10" customWidth="1"/>
    <col min="10253" max="10498" width="9.109375" style="10"/>
    <col min="10499" max="10499" width="12" style="10" bestFit="1" customWidth="1"/>
    <col min="10500" max="10503" width="9.109375" style="10"/>
    <col min="10504" max="10504" width="17.33203125" style="10" customWidth="1"/>
    <col min="10505" max="10507" width="9.6640625" style="10" customWidth="1"/>
    <col min="10508" max="10508" width="15" style="10" customWidth="1"/>
    <col min="10509" max="10754" width="9.109375" style="10"/>
    <col min="10755" max="10755" width="12" style="10" bestFit="1" customWidth="1"/>
    <col min="10756" max="10759" width="9.109375" style="10"/>
    <col min="10760" max="10760" width="17.33203125" style="10" customWidth="1"/>
    <col min="10761" max="10763" width="9.6640625" style="10" customWidth="1"/>
    <col min="10764" max="10764" width="15" style="10" customWidth="1"/>
    <col min="10765" max="11010" width="9.109375" style="10"/>
    <col min="11011" max="11011" width="12" style="10" bestFit="1" customWidth="1"/>
    <col min="11012" max="11015" width="9.109375" style="10"/>
    <col min="11016" max="11016" width="17.33203125" style="10" customWidth="1"/>
    <col min="11017" max="11019" width="9.6640625" style="10" customWidth="1"/>
    <col min="11020" max="11020" width="15" style="10" customWidth="1"/>
    <col min="11021" max="11266" width="9.109375" style="10"/>
    <col min="11267" max="11267" width="12" style="10" bestFit="1" customWidth="1"/>
    <col min="11268" max="11271" width="9.109375" style="10"/>
    <col min="11272" max="11272" width="17.33203125" style="10" customWidth="1"/>
    <col min="11273" max="11275" width="9.6640625" style="10" customWidth="1"/>
    <col min="11276" max="11276" width="15" style="10" customWidth="1"/>
    <col min="11277" max="11522" width="9.109375" style="10"/>
    <col min="11523" max="11523" width="12" style="10" bestFit="1" customWidth="1"/>
    <col min="11524" max="11527" width="9.109375" style="10"/>
    <col min="11528" max="11528" width="17.33203125" style="10" customWidth="1"/>
    <col min="11529" max="11531" width="9.6640625" style="10" customWidth="1"/>
    <col min="11532" max="11532" width="15" style="10" customWidth="1"/>
    <col min="11533" max="11778" width="9.109375" style="10"/>
    <col min="11779" max="11779" width="12" style="10" bestFit="1" customWidth="1"/>
    <col min="11780" max="11783" width="9.109375" style="10"/>
    <col min="11784" max="11784" width="17.33203125" style="10" customWidth="1"/>
    <col min="11785" max="11787" width="9.6640625" style="10" customWidth="1"/>
    <col min="11788" max="11788" width="15" style="10" customWidth="1"/>
    <col min="11789" max="12034" width="9.109375" style="10"/>
    <col min="12035" max="12035" width="12" style="10" bestFit="1" customWidth="1"/>
    <col min="12036" max="12039" width="9.109375" style="10"/>
    <col min="12040" max="12040" width="17.33203125" style="10" customWidth="1"/>
    <col min="12041" max="12043" width="9.6640625" style="10" customWidth="1"/>
    <col min="12044" max="12044" width="15" style="10" customWidth="1"/>
    <col min="12045" max="12290" width="9.109375" style="10"/>
    <col min="12291" max="12291" width="12" style="10" bestFit="1" customWidth="1"/>
    <col min="12292" max="12295" width="9.109375" style="10"/>
    <col min="12296" max="12296" width="17.33203125" style="10" customWidth="1"/>
    <col min="12297" max="12299" width="9.6640625" style="10" customWidth="1"/>
    <col min="12300" max="12300" width="15" style="10" customWidth="1"/>
    <col min="12301" max="12546" width="9.109375" style="10"/>
    <col min="12547" max="12547" width="12" style="10" bestFit="1" customWidth="1"/>
    <col min="12548" max="12551" width="9.109375" style="10"/>
    <col min="12552" max="12552" width="17.33203125" style="10" customWidth="1"/>
    <col min="12553" max="12555" width="9.6640625" style="10" customWidth="1"/>
    <col min="12556" max="12556" width="15" style="10" customWidth="1"/>
    <col min="12557" max="12802" width="9.109375" style="10"/>
    <col min="12803" max="12803" width="12" style="10" bestFit="1" customWidth="1"/>
    <col min="12804" max="12807" width="9.109375" style="10"/>
    <col min="12808" max="12808" width="17.33203125" style="10" customWidth="1"/>
    <col min="12809" max="12811" width="9.6640625" style="10" customWidth="1"/>
    <col min="12812" max="12812" width="15" style="10" customWidth="1"/>
    <col min="12813" max="13058" width="9.109375" style="10"/>
    <col min="13059" max="13059" width="12" style="10" bestFit="1" customWidth="1"/>
    <col min="13060" max="13063" width="9.109375" style="10"/>
    <col min="13064" max="13064" width="17.33203125" style="10" customWidth="1"/>
    <col min="13065" max="13067" width="9.6640625" style="10" customWidth="1"/>
    <col min="13068" max="13068" width="15" style="10" customWidth="1"/>
    <col min="13069" max="13314" width="9.109375" style="10"/>
    <col min="13315" max="13315" width="12" style="10" bestFit="1" customWidth="1"/>
    <col min="13316" max="13319" width="9.109375" style="10"/>
    <col min="13320" max="13320" width="17.33203125" style="10" customWidth="1"/>
    <col min="13321" max="13323" width="9.6640625" style="10" customWidth="1"/>
    <col min="13324" max="13324" width="15" style="10" customWidth="1"/>
    <col min="13325" max="13570" width="9.109375" style="10"/>
    <col min="13571" max="13571" width="12" style="10" bestFit="1" customWidth="1"/>
    <col min="13572" max="13575" width="9.109375" style="10"/>
    <col min="13576" max="13576" width="17.33203125" style="10" customWidth="1"/>
    <col min="13577" max="13579" width="9.6640625" style="10" customWidth="1"/>
    <col min="13580" max="13580" width="15" style="10" customWidth="1"/>
    <col min="13581" max="13826" width="9.109375" style="10"/>
    <col min="13827" max="13827" width="12" style="10" bestFit="1" customWidth="1"/>
    <col min="13828" max="13831" width="9.109375" style="10"/>
    <col min="13832" max="13832" width="17.33203125" style="10" customWidth="1"/>
    <col min="13833" max="13835" width="9.6640625" style="10" customWidth="1"/>
    <col min="13836" max="13836" width="15" style="10" customWidth="1"/>
    <col min="13837" max="14082" width="9.109375" style="10"/>
    <col min="14083" max="14083" width="12" style="10" bestFit="1" customWidth="1"/>
    <col min="14084" max="14087" width="9.109375" style="10"/>
    <col min="14088" max="14088" width="17.33203125" style="10" customWidth="1"/>
    <col min="14089" max="14091" width="9.6640625" style="10" customWidth="1"/>
    <col min="14092" max="14092" width="15" style="10" customWidth="1"/>
    <col min="14093" max="14338" width="9.109375" style="10"/>
    <col min="14339" max="14339" width="12" style="10" bestFit="1" customWidth="1"/>
    <col min="14340" max="14343" width="9.109375" style="10"/>
    <col min="14344" max="14344" width="17.33203125" style="10" customWidth="1"/>
    <col min="14345" max="14347" width="9.6640625" style="10" customWidth="1"/>
    <col min="14348" max="14348" width="15" style="10" customWidth="1"/>
    <col min="14349" max="14594" width="9.109375" style="10"/>
    <col min="14595" max="14595" width="12" style="10" bestFit="1" customWidth="1"/>
    <col min="14596" max="14599" width="9.109375" style="10"/>
    <col min="14600" max="14600" width="17.33203125" style="10" customWidth="1"/>
    <col min="14601" max="14603" width="9.6640625" style="10" customWidth="1"/>
    <col min="14604" max="14604" width="15" style="10" customWidth="1"/>
    <col min="14605" max="14850" width="9.109375" style="10"/>
    <col min="14851" max="14851" width="12" style="10" bestFit="1" customWidth="1"/>
    <col min="14852" max="14855" width="9.109375" style="10"/>
    <col min="14856" max="14856" width="17.33203125" style="10" customWidth="1"/>
    <col min="14857" max="14859" width="9.6640625" style="10" customWidth="1"/>
    <col min="14860" max="14860" width="15" style="10" customWidth="1"/>
    <col min="14861" max="15106" width="9.109375" style="10"/>
    <col min="15107" max="15107" width="12" style="10" bestFit="1" customWidth="1"/>
    <col min="15108" max="15111" width="9.109375" style="10"/>
    <col min="15112" max="15112" width="17.33203125" style="10" customWidth="1"/>
    <col min="15113" max="15115" width="9.6640625" style="10" customWidth="1"/>
    <col min="15116" max="15116" width="15" style="10" customWidth="1"/>
    <col min="15117" max="15362" width="9.109375" style="10"/>
    <col min="15363" max="15363" width="12" style="10" bestFit="1" customWidth="1"/>
    <col min="15364" max="15367" width="9.109375" style="10"/>
    <col min="15368" max="15368" width="17.33203125" style="10" customWidth="1"/>
    <col min="15369" max="15371" width="9.6640625" style="10" customWidth="1"/>
    <col min="15372" max="15372" width="15" style="10" customWidth="1"/>
    <col min="15373" max="15618" width="9.109375" style="10"/>
    <col min="15619" max="15619" width="12" style="10" bestFit="1" customWidth="1"/>
    <col min="15620" max="15623" width="9.109375" style="10"/>
    <col min="15624" max="15624" width="17.33203125" style="10" customWidth="1"/>
    <col min="15625" max="15627" width="9.6640625" style="10" customWidth="1"/>
    <col min="15628" max="15628" width="15" style="10" customWidth="1"/>
    <col min="15629" max="15874" width="9.109375" style="10"/>
    <col min="15875" max="15875" width="12" style="10" bestFit="1" customWidth="1"/>
    <col min="15876" max="15879" width="9.109375" style="10"/>
    <col min="15880" max="15880" width="17.33203125" style="10" customWidth="1"/>
    <col min="15881" max="15883" width="9.6640625" style="10" customWidth="1"/>
    <col min="15884" max="15884" width="15" style="10" customWidth="1"/>
    <col min="15885" max="16130" width="9.109375" style="10"/>
    <col min="16131" max="16131" width="12" style="10" bestFit="1" customWidth="1"/>
    <col min="16132" max="16135" width="9.109375" style="10"/>
    <col min="16136" max="16136" width="17.33203125" style="10" customWidth="1"/>
    <col min="16137" max="16139" width="9.6640625" style="10" customWidth="1"/>
    <col min="16140" max="16140" width="15" style="10" customWidth="1"/>
    <col min="16141" max="16384" width="9.109375" style="10"/>
  </cols>
  <sheetData>
    <row r="1" spans="1:12" ht="15.6">
      <c r="L1" s="275" t="s">
        <v>282</v>
      </c>
    </row>
    <row r="2" spans="1:12" ht="8.25" customHeight="1">
      <c r="L2" s="94"/>
    </row>
    <row r="3" spans="1:12" ht="15.75" customHeight="1">
      <c r="A3" s="95" t="str">
        <f>'Pg 6 WAF with CPI'!A3</f>
        <v>X.002-180-2024/1RF</v>
      </c>
      <c r="B3" s="96"/>
      <c r="C3" s="276"/>
      <c r="D3" s="98"/>
      <c r="E3" s="98"/>
      <c r="F3" s="1392">
        <f>'F1  Cover'!L8</f>
        <v>46053</v>
      </c>
      <c r="G3" s="1392"/>
      <c r="H3" s="1408" t="s">
        <v>207</v>
      </c>
      <c r="I3" s="1408"/>
      <c r="J3" s="1408"/>
      <c r="K3" s="1409">
        <f>'F1  Cover'!K8</f>
        <v>1</v>
      </c>
      <c r="L3" s="1410"/>
    </row>
    <row r="4" spans="1:12" ht="15.75" customHeight="1" thickBot="1"/>
    <row r="5" spans="1:12" ht="15.75" customHeight="1">
      <c r="A5" s="193"/>
      <c r="B5" s="194"/>
      <c r="C5" s="194"/>
      <c r="D5" s="194"/>
      <c r="E5" s="194"/>
      <c r="F5" s="194"/>
      <c r="G5" s="194"/>
      <c r="H5" s="194"/>
      <c r="I5" s="194"/>
      <c r="J5" s="194"/>
      <c r="K5" s="194"/>
      <c r="L5" s="277"/>
    </row>
    <row r="6" spans="1:12" ht="15.75" customHeight="1">
      <c r="A6" s="1349" t="s">
        <v>389</v>
      </c>
      <c r="B6" s="1350"/>
      <c r="C6" s="1350"/>
      <c r="D6" s="1350"/>
      <c r="E6" s="1350"/>
      <c r="F6" s="1350"/>
      <c r="G6" s="1350"/>
      <c r="H6" s="1350"/>
      <c r="I6" s="1350"/>
      <c r="J6" s="1350"/>
      <c r="K6" s="1350"/>
      <c r="L6" s="1351"/>
    </row>
    <row r="7" spans="1:12" ht="15.75" customHeight="1" thickBot="1">
      <c r="A7" s="278"/>
      <c r="L7" s="279"/>
    </row>
    <row r="8" spans="1:12" ht="15.75" customHeight="1" thickBot="1">
      <c r="A8" s="1411" t="s">
        <v>0</v>
      </c>
      <c r="B8" s="1412"/>
      <c r="C8" s="1412"/>
      <c r="D8" s="1412"/>
      <c r="E8" s="1412"/>
      <c r="F8" s="1412"/>
      <c r="G8" s="1412"/>
      <c r="H8" s="1413"/>
      <c r="I8" s="292" t="s">
        <v>1</v>
      </c>
      <c r="J8" s="292" t="s">
        <v>2</v>
      </c>
      <c r="K8" s="292" t="s">
        <v>3</v>
      </c>
      <c r="L8" s="293" t="s">
        <v>231</v>
      </c>
    </row>
    <row r="9" spans="1:12" ht="12.75" customHeight="1">
      <c r="A9" s="1414" t="s">
        <v>275</v>
      </c>
      <c r="B9" s="1415"/>
      <c r="C9" s="1415"/>
      <c r="D9" s="1415"/>
      <c r="E9" s="1415"/>
      <c r="F9" s="1415"/>
      <c r="G9" s="1415"/>
      <c r="H9" s="1416"/>
      <c r="I9" s="286"/>
      <c r="J9" s="286"/>
      <c r="K9" s="286"/>
      <c r="L9" s="287"/>
    </row>
    <row r="10" spans="1:12" ht="12.75" customHeight="1">
      <c r="A10" s="1474" t="s">
        <v>387</v>
      </c>
      <c r="B10" s="1475"/>
      <c r="C10" s="1475"/>
      <c r="D10" s="1475"/>
      <c r="E10" s="1475"/>
      <c r="F10" s="1475"/>
      <c r="G10" s="1475"/>
      <c r="H10" s="1476"/>
      <c r="I10" s="282"/>
      <c r="J10" s="282"/>
      <c r="K10" s="282"/>
      <c r="L10" s="283"/>
    </row>
    <row r="11" spans="1:12">
      <c r="A11" s="1405"/>
      <c r="B11" s="1406"/>
      <c r="C11" s="1406"/>
      <c r="D11" s="1406"/>
      <c r="E11" s="1406"/>
      <c r="F11" s="1406"/>
      <c r="G11" s="1406"/>
      <c r="H11" s="1407"/>
      <c r="I11" s="285"/>
      <c r="J11" s="285"/>
      <c r="K11" s="285"/>
      <c r="L11" s="288"/>
    </row>
    <row r="12" spans="1:12">
      <c r="A12" s="1405"/>
      <c r="B12" s="1406"/>
      <c r="C12" s="1406"/>
      <c r="D12" s="1406"/>
      <c r="E12" s="1406"/>
      <c r="F12" s="1406"/>
      <c r="G12" s="1406"/>
      <c r="H12" s="1407"/>
      <c r="I12" s="285"/>
      <c r="J12" s="285"/>
      <c r="K12" s="285"/>
      <c r="L12" s="288"/>
    </row>
    <row r="13" spans="1:12">
      <c r="A13" s="1405"/>
      <c r="B13" s="1406"/>
      <c r="C13" s="1406"/>
      <c r="D13" s="1406"/>
      <c r="E13" s="1406"/>
      <c r="F13" s="1406"/>
      <c r="G13" s="1406"/>
      <c r="H13" s="1407"/>
      <c r="I13" s="285"/>
      <c r="J13" s="285"/>
      <c r="K13" s="285"/>
      <c r="L13" s="288"/>
    </row>
    <row r="14" spans="1:12">
      <c r="A14" s="1405"/>
      <c r="B14" s="1406"/>
      <c r="C14" s="1406"/>
      <c r="D14" s="1406"/>
      <c r="E14" s="1406"/>
      <c r="F14" s="1406"/>
      <c r="G14" s="1406"/>
      <c r="H14" s="1407"/>
      <c r="I14" s="285"/>
      <c r="J14" s="285"/>
      <c r="K14" s="285"/>
      <c r="L14" s="288"/>
    </row>
    <row r="15" spans="1:12">
      <c r="A15" s="1405"/>
      <c r="B15" s="1406"/>
      <c r="C15" s="1406"/>
      <c r="D15" s="1406"/>
      <c r="E15" s="1406"/>
      <c r="F15" s="1406"/>
      <c r="G15" s="1406"/>
      <c r="H15" s="1407"/>
      <c r="I15" s="285"/>
      <c r="J15" s="285"/>
      <c r="K15" s="285"/>
      <c r="L15" s="288"/>
    </row>
    <row r="16" spans="1:12">
      <c r="A16" s="1405"/>
      <c r="B16" s="1406"/>
      <c r="C16" s="1406"/>
      <c r="D16" s="1406"/>
      <c r="E16" s="1406"/>
      <c r="F16" s="1406"/>
      <c r="G16" s="1406"/>
      <c r="H16" s="1407"/>
      <c r="I16" s="285"/>
      <c r="J16" s="285"/>
      <c r="K16" s="285"/>
      <c r="L16" s="288"/>
    </row>
    <row r="17" spans="1:12">
      <c r="A17" s="1405"/>
      <c r="B17" s="1406"/>
      <c r="C17" s="1406"/>
      <c r="D17" s="1406"/>
      <c r="E17" s="1406"/>
      <c r="F17" s="1406"/>
      <c r="G17" s="1406"/>
      <c r="H17" s="1407"/>
      <c r="I17" s="285"/>
      <c r="J17" s="285"/>
      <c r="K17" s="285"/>
      <c r="L17" s="288"/>
    </row>
    <row r="18" spans="1:12">
      <c r="A18" s="1462"/>
      <c r="B18" s="1463"/>
      <c r="C18" s="1463"/>
      <c r="D18" s="1463"/>
      <c r="E18" s="1463"/>
      <c r="F18" s="1463"/>
      <c r="G18" s="1463"/>
      <c r="H18" s="1464"/>
      <c r="I18" s="1465" t="s">
        <v>276</v>
      </c>
      <c r="J18" s="1466"/>
      <c r="K18" s="1467"/>
      <c r="L18" s="289">
        <f>SUM(L10:L17)</f>
        <v>0</v>
      </c>
    </row>
    <row r="19" spans="1:12">
      <c r="A19" s="1468" t="s">
        <v>277</v>
      </c>
      <c r="B19" s="1469"/>
      <c r="C19" s="1469"/>
      <c r="D19" s="1469"/>
      <c r="E19" s="1469"/>
      <c r="F19" s="1469"/>
      <c r="G19" s="1469"/>
      <c r="H19" s="1470"/>
      <c r="I19" s="284"/>
      <c r="J19" s="284"/>
      <c r="K19" s="284"/>
      <c r="L19" s="289"/>
    </row>
    <row r="20" spans="1:12">
      <c r="A20" s="1471" t="s">
        <v>390</v>
      </c>
      <c r="B20" s="1472"/>
      <c r="C20" s="1472"/>
      <c r="D20" s="1472"/>
      <c r="E20" s="1472"/>
      <c r="F20" s="1472"/>
      <c r="G20" s="1472"/>
      <c r="H20" s="1473"/>
      <c r="I20" s="285"/>
      <c r="J20" s="285"/>
      <c r="K20" s="285"/>
      <c r="L20" s="288"/>
    </row>
    <row r="21" spans="1:12">
      <c r="A21" s="1405"/>
      <c r="B21" s="1406"/>
      <c r="C21" s="1406"/>
      <c r="D21" s="1406"/>
      <c r="E21" s="1406"/>
      <c r="F21" s="1406"/>
      <c r="G21" s="1406"/>
      <c r="H21" s="1407"/>
      <c r="I21" s="285"/>
      <c r="J21" s="285"/>
      <c r="K21" s="285"/>
      <c r="L21" s="288"/>
    </row>
    <row r="22" spans="1:12">
      <c r="A22" s="1405"/>
      <c r="B22" s="1406"/>
      <c r="C22" s="1406"/>
      <c r="D22" s="1406"/>
      <c r="E22" s="1406"/>
      <c r="F22" s="1406"/>
      <c r="G22" s="1406"/>
      <c r="H22" s="1407"/>
      <c r="I22" s="285"/>
      <c r="J22" s="285"/>
      <c r="K22" s="285"/>
      <c r="L22" s="288"/>
    </row>
    <row r="23" spans="1:12">
      <c r="A23" s="1405"/>
      <c r="B23" s="1406"/>
      <c r="C23" s="1406"/>
      <c r="D23" s="1406"/>
      <c r="E23" s="1406"/>
      <c r="F23" s="1406"/>
      <c r="G23" s="1406"/>
      <c r="H23" s="1407"/>
      <c r="I23" s="285"/>
      <c r="J23" s="285"/>
      <c r="K23" s="285"/>
      <c r="L23" s="288"/>
    </row>
    <row r="24" spans="1:12">
      <c r="A24" s="1405"/>
      <c r="B24" s="1406"/>
      <c r="C24" s="1406"/>
      <c r="D24" s="1406"/>
      <c r="E24" s="1406"/>
      <c r="F24" s="1406"/>
      <c r="G24" s="1406"/>
      <c r="H24" s="1407"/>
      <c r="I24" s="285"/>
      <c r="J24" s="285"/>
      <c r="K24" s="285"/>
      <c r="L24" s="288"/>
    </row>
    <row r="25" spans="1:12">
      <c r="A25" s="1405"/>
      <c r="B25" s="1406"/>
      <c r="C25" s="1406"/>
      <c r="D25" s="1406"/>
      <c r="E25" s="1406"/>
      <c r="F25" s="1406"/>
      <c r="G25" s="1406"/>
      <c r="H25" s="1407"/>
      <c r="I25" s="285"/>
      <c r="J25" s="285"/>
      <c r="K25" s="285"/>
      <c r="L25" s="288"/>
    </row>
    <row r="26" spans="1:12">
      <c r="A26" s="1405"/>
      <c r="B26" s="1406"/>
      <c r="C26" s="1406"/>
      <c r="D26" s="1406"/>
      <c r="E26" s="1406"/>
      <c r="F26" s="1406"/>
      <c r="G26" s="1406"/>
      <c r="H26" s="1407"/>
      <c r="I26" s="285"/>
      <c r="J26" s="285"/>
      <c r="K26" s="285"/>
      <c r="L26" s="288"/>
    </row>
    <row r="27" spans="1:12">
      <c r="A27" s="1405"/>
      <c r="B27" s="1406"/>
      <c r="C27" s="1406"/>
      <c r="D27" s="1406"/>
      <c r="E27" s="1406"/>
      <c r="F27" s="1406"/>
      <c r="G27" s="1406"/>
      <c r="H27" s="1407"/>
      <c r="I27" s="285"/>
      <c r="J27" s="285"/>
      <c r="K27" s="285"/>
      <c r="L27" s="288"/>
    </row>
    <row r="28" spans="1:12">
      <c r="A28" s="1405"/>
      <c r="B28" s="1406"/>
      <c r="C28" s="1406"/>
      <c r="D28" s="1406"/>
      <c r="E28" s="1406"/>
      <c r="F28" s="1406"/>
      <c r="G28" s="1406"/>
      <c r="H28" s="1407"/>
      <c r="I28" s="285"/>
      <c r="J28" s="285"/>
      <c r="K28" s="285"/>
      <c r="L28" s="288"/>
    </row>
    <row r="29" spans="1:12">
      <c r="A29" s="1462"/>
      <c r="B29" s="1463"/>
      <c r="C29" s="1463"/>
      <c r="D29" s="1463"/>
      <c r="E29" s="1463"/>
      <c r="F29" s="1463"/>
      <c r="G29" s="1463"/>
      <c r="H29" s="1464"/>
      <c r="I29" s="1465" t="s">
        <v>278</v>
      </c>
      <c r="J29" s="1466"/>
      <c r="K29" s="1467"/>
      <c r="L29" s="289">
        <f>SUM(L20:L28)</f>
        <v>0</v>
      </c>
    </row>
    <row r="30" spans="1:12">
      <c r="A30" s="1462"/>
      <c r="B30" s="1463"/>
      <c r="C30" s="1463"/>
      <c r="D30" s="1463"/>
      <c r="E30" s="1463"/>
      <c r="F30" s="1463"/>
      <c r="G30" s="1463"/>
      <c r="H30" s="1464"/>
      <c r="I30" s="284"/>
      <c r="J30" s="284"/>
      <c r="K30" s="284"/>
      <c r="L30" s="289"/>
    </row>
    <row r="31" spans="1:12">
      <c r="A31" s="1452" t="s">
        <v>283</v>
      </c>
      <c r="B31" s="1453"/>
      <c r="C31" s="1453"/>
      <c r="D31" s="1453"/>
      <c r="E31" s="1453"/>
      <c r="F31" s="1453"/>
      <c r="G31" s="1453"/>
      <c r="H31" s="1454"/>
      <c r="I31" s="284"/>
      <c r="J31" s="284"/>
      <c r="K31" s="284"/>
      <c r="L31" s="289">
        <f>L18</f>
        <v>0</v>
      </c>
    </row>
    <row r="32" spans="1:12" ht="13.8" thickBot="1">
      <c r="A32" s="1452" t="s">
        <v>284</v>
      </c>
      <c r="B32" s="1453"/>
      <c r="C32" s="1453"/>
      <c r="D32" s="1453"/>
      <c r="E32" s="1453"/>
      <c r="F32" s="1453"/>
      <c r="G32" s="1453"/>
      <c r="H32" s="1454"/>
      <c r="I32" s="284"/>
      <c r="J32" s="284"/>
      <c r="K32" s="520"/>
      <c r="L32" s="290">
        <f>L29</f>
        <v>0</v>
      </c>
    </row>
    <row r="33" spans="1:12" ht="21" customHeight="1" thickBot="1">
      <c r="A33" s="1432" t="s">
        <v>285</v>
      </c>
      <c r="B33" s="1433"/>
      <c r="C33" s="1433"/>
      <c r="D33" s="1433"/>
      <c r="E33" s="1433"/>
      <c r="F33" s="1433"/>
      <c r="G33" s="1433"/>
      <c r="H33" s="1433"/>
      <c r="I33" s="1433"/>
      <c r="J33" s="1433"/>
      <c r="K33" s="1434"/>
      <c r="L33" s="295">
        <f>L31+L32</f>
        <v>0</v>
      </c>
    </row>
  </sheetData>
  <mergeCells count="32">
    <mergeCell ref="A33:K33"/>
    <mergeCell ref="A28:H28"/>
    <mergeCell ref="A29:H29"/>
    <mergeCell ref="I29:K29"/>
    <mergeCell ref="A30:H30"/>
    <mergeCell ref="A31:H31"/>
    <mergeCell ref="A32:H32"/>
    <mergeCell ref="A27:H27"/>
    <mergeCell ref="A17:H17"/>
    <mergeCell ref="A18:H18"/>
    <mergeCell ref="I18:K18"/>
    <mergeCell ref="A19:H19"/>
    <mergeCell ref="A20:H20"/>
    <mergeCell ref="A21:H21"/>
    <mergeCell ref="A22:H22"/>
    <mergeCell ref="A23:H23"/>
    <mergeCell ref="A24:H24"/>
    <mergeCell ref="A25:H25"/>
    <mergeCell ref="A26:H26"/>
    <mergeCell ref="A16:H16"/>
    <mergeCell ref="H3:J3"/>
    <mergeCell ref="K3:L3"/>
    <mergeCell ref="A6:L6"/>
    <mergeCell ref="A8:H8"/>
    <mergeCell ref="A9:H9"/>
    <mergeCell ref="A10:H10"/>
    <mergeCell ref="A11:H11"/>
    <mergeCell ref="A12:H12"/>
    <mergeCell ref="A13:H13"/>
    <mergeCell ref="A14:H14"/>
    <mergeCell ref="A15:H15"/>
    <mergeCell ref="F3:G3"/>
  </mergeCells>
  <pageMargins left="0.35433070866141736" right="0.15748031496062992" top="0.59055118110236227" bottom="0.39370078740157483" header="0.51181102362204722" footer="0.51181102362204722"/>
  <pageSetup paperSize="9" orientation="landscape" blackAndWhite="1" r:id="rId1"/>
  <headerFooter alignWithMargins="0">
    <oddHeader>&amp;L&amp;"Calibri"&amp;10&amp;K000000 Sensitivity - General&amp;1#_x000D_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4">
    <tabColor rgb="FF0070C0"/>
  </sheetPr>
  <dimension ref="A1:L34"/>
  <sheetViews>
    <sheetView zoomScaleNormal="100" zoomScaleSheetLayoutView="75" workbookViewId="0">
      <selection sqref="A1:E1"/>
    </sheetView>
  </sheetViews>
  <sheetFormatPr defaultRowHeight="13.2"/>
  <cols>
    <col min="1" max="2" width="9.109375" style="10"/>
    <col min="3" max="3" width="12" style="10" bestFit="1" customWidth="1"/>
    <col min="4" max="7" width="9.109375" style="10"/>
    <col min="8" max="8" width="17.33203125" style="10" customWidth="1"/>
    <col min="9" max="11" width="9.6640625" style="10" customWidth="1"/>
    <col min="12" max="12" width="15" style="10" customWidth="1"/>
    <col min="13" max="258" width="9.109375" style="10"/>
    <col min="259" max="259" width="12" style="10" bestFit="1" customWidth="1"/>
    <col min="260" max="263" width="9.109375" style="10"/>
    <col min="264" max="264" width="17.33203125" style="10" customWidth="1"/>
    <col min="265" max="267" width="9.6640625" style="10" customWidth="1"/>
    <col min="268" max="268" width="15" style="10" customWidth="1"/>
    <col min="269" max="514" width="9.109375" style="10"/>
    <col min="515" max="515" width="12" style="10" bestFit="1" customWidth="1"/>
    <col min="516" max="519" width="9.109375" style="10"/>
    <col min="520" max="520" width="17.33203125" style="10" customWidth="1"/>
    <col min="521" max="523" width="9.6640625" style="10" customWidth="1"/>
    <col min="524" max="524" width="15" style="10" customWidth="1"/>
    <col min="525" max="770" width="9.109375" style="10"/>
    <col min="771" max="771" width="12" style="10" bestFit="1" customWidth="1"/>
    <col min="772" max="775" width="9.109375" style="10"/>
    <col min="776" max="776" width="17.33203125" style="10" customWidth="1"/>
    <col min="777" max="779" width="9.6640625" style="10" customWidth="1"/>
    <col min="780" max="780" width="15" style="10" customWidth="1"/>
    <col min="781" max="1026" width="9.109375" style="10"/>
    <col min="1027" max="1027" width="12" style="10" bestFit="1" customWidth="1"/>
    <col min="1028" max="1031" width="9.109375" style="10"/>
    <col min="1032" max="1032" width="17.33203125" style="10" customWidth="1"/>
    <col min="1033" max="1035" width="9.6640625" style="10" customWidth="1"/>
    <col min="1036" max="1036" width="15" style="10" customWidth="1"/>
    <col min="1037" max="1282" width="9.109375" style="10"/>
    <col min="1283" max="1283" width="12" style="10" bestFit="1" customWidth="1"/>
    <col min="1284" max="1287" width="9.109375" style="10"/>
    <col min="1288" max="1288" width="17.33203125" style="10" customWidth="1"/>
    <col min="1289" max="1291" width="9.6640625" style="10" customWidth="1"/>
    <col min="1292" max="1292" width="15" style="10" customWidth="1"/>
    <col min="1293" max="1538" width="9.109375" style="10"/>
    <col min="1539" max="1539" width="12" style="10" bestFit="1" customWidth="1"/>
    <col min="1540" max="1543" width="9.109375" style="10"/>
    <col min="1544" max="1544" width="17.33203125" style="10" customWidth="1"/>
    <col min="1545" max="1547" width="9.6640625" style="10" customWidth="1"/>
    <col min="1548" max="1548" width="15" style="10" customWidth="1"/>
    <col min="1549" max="1794" width="9.109375" style="10"/>
    <col min="1795" max="1795" width="12" style="10" bestFit="1" customWidth="1"/>
    <col min="1796" max="1799" width="9.109375" style="10"/>
    <col min="1800" max="1800" width="17.33203125" style="10" customWidth="1"/>
    <col min="1801" max="1803" width="9.6640625" style="10" customWidth="1"/>
    <col min="1804" max="1804" width="15" style="10" customWidth="1"/>
    <col min="1805" max="2050" width="9.109375" style="10"/>
    <col min="2051" max="2051" width="12" style="10" bestFit="1" customWidth="1"/>
    <col min="2052" max="2055" width="9.109375" style="10"/>
    <col min="2056" max="2056" width="17.33203125" style="10" customWidth="1"/>
    <col min="2057" max="2059" width="9.6640625" style="10" customWidth="1"/>
    <col min="2060" max="2060" width="15" style="10" customWidth="1"/>
    <col min="2061" max="2306" width="9.109375" style="10"/>
    <col min="2307" max="2307" width="12" style="10" bestFit="1" customWidth="1"/>
    <col min="2308" max="2311" width="9.109375" style="10"/>
    <col min="2312" max="2312" width="17.33203125" style="10" customWidth="1"/>
    <col min="2313" max="2315" width="9.6640625" style="10" customWidth="1"/>
    <col min="2316" max="2316" width="15" style="10" customWidth="1"/>
    <col min="2317" max="2562" width="9.109375" style="10"/>
    <col min="2563" max="2563" width="12" style="10" bestFit="1" customWidth="1"/>
    <col min="2564" max="2567" width="9.109375" style="10"/>
    <col min="2568" max="2568" width="17.33203125" style="10" customWidth="1"/>
    <col min="2569" max="2571" width="9.6640625" style="10" customWidth="1"/>
    <col min="2572" max="2572" width="15" style="10" customWidth="1"/>
    <col min="2573" max="2818" width="9.109375" style="10"/>
    <col min="2819" max="2819" width="12" style="10" bestFit="1" customWidth="1"/>
    <col min="2820" max="2823" width="9.109375" style="10"/>
    <col min="2824" max="2824" width="17.33203125" style="10" customWidth="1"/>
    <col min="2825" max="2827" width="9.6640625" style="10" customWidth="1"/>
    <col min="2828" max="2828" width="15" style="10" customWidth="1"/>
    <col min="2829" max="3074" width="9.109375" style="10"/>
    <col min="3075" max="3075" width="12" style="10" bestFit="1" customWidth="1"/>
    <col min="3076" max="3079" width="9.109375" style="10"/>
    <col min="3080" max="3080" width="17.33203125" style="10" customWidth="1"/>
    <col min="3081" max="3083" width="9.6640625" style="10" customWidth="1"/>
    <col min="3084" max="3084" width="15" style="10" customWidth="1"/>
    <col min="3085" max="3330" width="9.109375" style="10"/>
    <col min="3331" max="3331" width="12" style="10" bestFit="1" customWidth="1"/>
    <col min="3332" max="3335" width="9.109375" style="10"/>
    <col min="3336" max="3336" width="17.33203125" style="10" customWidth="1"/>
    <col min="3337" max="3339" width="9.6640625" style="10" customWidth="1"/>
    <col min="3340" max="3340" width="15" style="10" customWidth="1"/>
    <col min="3341" max="3586" width="9.109375" style="10"/>
    <col min="3587" max="3587" width="12" style="10" bestFit="1" customWidth="1"/>
    <col min="3588" max="3591" width="9.109375" style="10"/>
    <col min="3592" max="3592" width="17.33203125" style="10" customWidth="1"/>
    <col min="3593" max="3595" width="9.6640625" style="10" customWidth="1"/>
    <col min="3596" max="3596" width="15" style="10" customWidth="1"/>
    <col min="3597" max="3842" width="9.109375" style="10"/>
    <col min="3843" max="3843" width="12" style="10" bestFit="1" customWidth="1"/>
    <col min="3844" max="3847" width="9.109375" style="10"/>
    <col min="3848" max="3848" width="17.33203125" style="10" customWidth="1"/>
    <col min="3849" max="3851" width="9.6640625" style="10" customWidth="1"/>
    <col min="3852" max="3852" width="15" style="10" customWidth="1"/>
    <col min="3853" max="4098" width="9.109375" style="10"/>
    <col min="4099" max="4099" width="12" style="10" bestFit="1" customWidth="1"/>
    <col min="4100" max="4103" width="9.109375" style="10"/>
    <col min="4104" max="4104" width="17.33203125" style="10" customWidth="1"/>
    <col min="4105" max="4107" width="9.6640625" style="10" customWidth="1"/>
    <col min="4108" max="4108" width="15" style="10" customWidth="1"/>
    <col min="4109" max="4354" width="9.109375" style="10"/>
    <col min="4355" max="4355" width="12" style="10" bestFit="1" customWidth="1"/>
    <col min="4356" max="4359" width="9.109375" style="10"/>
    <col min="4360" max="4360" width="17.33203125" style="10" customWidth="1"/>
    <col min="4361" max="4363" width="9.6640625" style="10" customWidth="1"/>
    <col min="4364" max="4364" width="15" style="10" customWidth="1"/>
    <col min="4365" max="4610" width="9.109375" style="10"/>
    <col min="4611" max="4611" width="12" style="10" bestFit="1" customWidth="1"/>
    <col min="4612" max="4615" width="9.109375" style="10"/>
    <col min="4616" max="4616" width="17.33203125" style="10" customWidth="1"/>
    <col min="4617" max="4619" width="9.6640625" style="10" customWidth="1"/>
    <col min="4620" max="4620" width="15" style="10" customWidth="1"/>
    <col min="4621" max="4866" width="9.109375" style="10"/>
    <col min="4867" max="4867" width="12" style="10" bestFit="1" customWidth="1"/>
    <col min="4868" max="4871" width="9.109375" style="10"/>
    <col min="4872" max="4872" width="17.33203125" style="10" customWidth="1"/>
    <col min="4873" max="4875" width="9.6640625" style="10" customWidth="1"/>
    <col min="4876" max="4876" width="15" style="10" customWidth="1"/>
    <col min="4877" max="5122" width="9.109375" style="10"/>
    <col min="5123" max="5123" width="12" style="10" bestFit="1" customWidth="1"/>
    <col min="5124" max="5127" width="9.109375" style="10"/>
    <col min="5128" max="5128" width="17.33203125" style="10" customWidth="1"/>
    <col min="5129" max="5131" width="9.6640625" style="10" customWidth="1"/>
    <col min="5132" max="5132" width="15" style="10" customWidth="1"/>
    <col min="5133" max="5378" width="9.109375" style="10"/>
    <col min="5379" max="5379" width="12" style="10" bestFit="1" customWidth="1"/>
    <col min="5380" max="5383" width="9.109375" style="10"/>
    <col min="5384" max="5384" width="17.33203125" style="10" customWidth="1"/>
    <col min="5385" max="5387" width="9.6640625" style="10" customWidth="1"/>
    <col min="5388" max="5388" width="15" style="10" customWidth="1"/>
    <col min="5389" max="5634" width="9.109375" style="10"/>
    <col min="5635" max="5635" width="12" style="10" bestFit="1" customWidth="1"/>
    <col min="5636" max="5639" width="9.109375" style="10"/>
    <col min="5640" max="5640" width="17.33203125" style="10" customWidth="1"/>
    <col min="5641" max="5643" width="9.6640625" style="10" customWidth="1"/>
    <col min="5644" max="5644" width="15" style="10" customWidth="1"/>
    <col min="5645" max="5890" width="9.109375" style="10"/>
    <col min="5891" max="5891" width="12" style="10" bestFit="1" customWidth="1"/>
    <col min="5892" max="5895" width="9.109375" style="10"/>
    <col min="5896" max="5896" width="17.33203125" style="10" customWidth="1"/>
    <col min="5897" max="5899" width="9.6640625" style="10" customWidth="1"/>
    <col min="5900" max="5900" width="15" style="10" customWidth="1"/>
    <col min="5901" max="6146" width="9.109375" style="10"/>
    <col min="6147" max="6147" width="12" style="10" bestFit="1" customWidth="1"/>
    <col min="6148" max="6151" width="9.109375" style="10"/>
    <col min="6152" max="6152" width="17.33203125" style="10" customWidth="1"/>
    <col min="6153" max="6155" width="9.6640625" style="10" customWidth="1"/>
    <col min="6156" max="6156" width="15" style="10" customWidth="1"/>
    <col min="6157" max="6402" width="9.109375" style="10"/>
    <col min="6403" max="6403" width="12" style="10" bestFit="1" customWidth="1"/>
    <col min="6404" max="6407" width="9.109375" style="10"/>
    <col min="6408" max="6408" width="17.33203125" style="10" customWidth="1"/>
    <col min="6409" max="6411" width="9.6640625" style="10" customWidth="1"/>
    <col min="6412" max="6412" width="15" style="10" customWidth="1"/>
    <col min="6413" max="6658" width="9.109375" style="10"/>
    <col min="6659" max="6659" width="12" style="10" bestFit="1" customWidth="1"/>
    <col min="6660" max="6663" width="9.109375" style="10"/>
    <col min="6664" max="6664" width="17.33203125" style="10" customWidth="1"/>
    <col min="6665" max="6667" width="9.6640625" style="10" customWidth="1"/>
    <col min="6668" max="6668" width="15" style="10" customWidth="1"/>
    <col min="6669" max="6914" width="9.109375" style="10"/>
    <col min="6915" max="6915" width="12" style="10" bestFit="1" customWidth="1"/>
    <col min="6916" max="6919" width="9.109375" style="10"/>
    <col min="6920" max="6920" width="17.33203125" style="10" customWidth="1"/>
    <col min="6921" max="6923" width="9.6640625" style="10" customWidth="1"/>
    <col min="6924" max="6924" width="15" style="10" customWidth="1"/>
    <col min="6925" max="7170" width="9.109375" style="10"/>
    <col min="7171" max="7171" width="12" style="10" bestFit="1" customWidth="1"/>
    <col min="7172" max="7175" width="9.109375" style="10"/>
    <col min="7176" max="7176" width="17.33203125" style="10" customWidth="1"/>
    <col min="7177" max="7179" width="9.6640625" style="10" customWidth="1"/>
    <col min="7180" max="7180" width="15" style="10" customWidth="1"/>
    <col min="7181" max="7426" width="9.109375" style="10"/>
    <col min="7427" max="7427" width="12" style="10" bestFit="1" customWidth="1"/>
    <col min="7428" max="7431" width="9.109375" style="10"/>
    <col min="7432" max="7432" width="17.33203125" style="10" customWidth="1"/>
    <col min="7433" max="7435" width="9.6640625" style="10" customWidth="1"/>
    <col min="7436" max="7436" width="15" style="10" customWidth="1"/>
    <col min="7437" max="7682" width="9.109375" style="10"/>
    <col min="7683" max="7683" width="12" style="10" bestFit="1" customWidth="1"/>
    <col min="7684" max="7687" width="9.109375" style="10"/>
    <col min="7688" max="7688" width="17.33203125" style="10" customWidth="1"/>
    <col min="7689" max="7691" width="9.6640625" style="10" customWidth="1"/>
    <col min="7692" max="7692" width="15" style="10" customWidth="1"/>
    <col min="7693" max="7938" width="9.109375" style="10"/>
    <col min="7939" max="7939" width="12" style="10" bestFit="1" customWidth="1"/>
    <col min="7940" max="7943" width="9.109375" style="10"/>
    <col min="7944" max="7944" width="17.33203125" style="10" customWidth="1"/>
    <col min="7945" max="7947" width="9.6640625" style="10" customWidth="1"/>
    <col min="7948" max="7948" width="15" style="10" customWidth="1"/>
    <col min="7949" max="8194" width="9.109375" style="10"/>
    <col min="8195" max="8195" width="12" style="10" bestFit="1" customWidth="1"/>
    <col min="8196" max="8199" width="9.109375" style="10"/>
    <col min="8200" max="8200" width="17.33203125" style="10" customWidth="1"/>
    <col min="8201" max="8203" width="9.6640625" style="10" customWidth="1"/>
    <col min="8204" max="8204" width="15" style="10" customWidth="1"/>
    <col min="8205" max="8450" width="9.109375" style="10"/>
    <col min="8451" max="8451" width="12" style="10" bestFit="1" customWidth="1"/>
    <col min="8452" max="8455" width="9.109375" style="10"/>
    <col min="8456" max="8456" width="17.33203125" style="10" customWidth="1"/>
    <col min="8457" max="8459" width="9.6640625" style="10" customWidth="1"/>
    <col min="8460" max="8460" width="15" style="10" customWidth="1"/>
    <col min="8461" max="8706" width="9.109375" style="10"/>
    <col min="8707" max="8707" width="12" style="10" bestFit="1" customWidth="1"/>
    <col min="8708" max="8711" width="9.109375" style="10"/>
    <col min="8712" max="8712" width="17.33203125" style="10" customWidth="1"/>
    <col min="8713" max="8715" width="9.6640625" style="10" customWidth="1"/>
    <col min="8716" max="8716" width="15" style="10" customWidth="1"/>
    <col min="8717" max="8962" width="9.109375" style="10"/>
    <col min="8963" max="8963" width="12" style="10" bestFit="1" customWidth="1"/>
    <col min="8964" max="8967" width="9.109375" style="10"/>
    <col min="8968" max="8968" width="17.33203125" style="10" customWidth="1"/>
    <col min="8969" max="8971" width="9.6640625" style="10" customWidth="1"/>
    <col min="8972" max="8972" width="15" style="10" customWidth="1"/>
    <col min="8973" max="9218" width="9.109375" style="10"/>
    <col min="9219" max="9219" width="12" style="10" bestFit="1" customWidth="1"/>
    <col min="9220" max="9223" width="9.109375" style="10"/>
    <col min="9224" max="9224" width="17.33203125" style="10" customWidth="1"/>
    <col min="9225" max="9227" width="9.6640625" style="10" customWidth="1"/>
    <col min="9228" max="9228" width="15" style="10" customWidth="1"/>
    <col min="9229" max="9474" width="9.109375" style="10"/>
    <col min="9475" max="9475" width="12" style="10" bestFit="1" customWidth="1"/>
    <col min="9476" max="9479" width="9.109375" style="10"/>
    <col min="9480" max="9480" width="17.33203125" style="10" customWidth="1"/>
    <col min="9481" max="9483" width="9.6640625" style="10" customWidth="1"/>
    <col min="9484" max="9484" width="15" style="10" customWidth="1"/>
    <col min="9485" max="9730" width="9.109375" style="10"/>
    <col min="9731" max="9731" width="12" style="10" bestFit="1" customWidth="1"/>
    <col min="9732" max="9735" width="9.109375" style="10"/>
    <col min="9736" max="9736" width="17.33203125" style="10" customWidth="1"/>
    <col min="9737" max="9739" width="9.6640625" style="10" customWidth="1"/>
    <col min="9740" max="9740" width="15" style="10" customWidth="1"/>
    <col min="9741" max="9986" width="9.109375" style="10"/>
    <col min="9987" max="9987" width="12" style="10" bestFit="1" customWidth="1"/>
    <col min="9988" max="9991" width="9.109375" style="10"/>
    <col min="9992" max="9992" width="17.33203125" style="10" customWidth="1"/>
    <col min="9993" max="9995" width="9.6640625" style="10" customWidth="1"/>
    <col min="9996" max="9996" width="15" style="10" customWidth="1"/>
    <col min="9997" max="10242" width="9.109375" style="10"/>
    <col min="10243" max="10243" width="12" style="10" bestFit="1" customWidth="1"/>
    <col min="10244" max="10247" width="9.109375" style="10"/>
    <col min="10248" max="10248" width="17.33203125" style="10" customWidth="1"/>
    <col min="10249" max="10251" width="9.6640625" style="10" customWidth="1"/>
    <col min="10252" max="10252" width="15" style="10" customWidth="1"/>
    <col min="10253" max="10498" width="9.109375" style="10"/>
    <col min="10499" max="10499" width="12" style="10" bestFit="1" customWidth="1"/>
    <col min="10500" max="10503" width="9.109375" style="10"/>
    <col min="10504" max="10504" width="17.33203125" style="10" customWidth="1"/>
    <col min="10505" max="10507" width="9.6640625" style="10" customWidth="1"/>
    <col min="10508" max="10508" width="15" style="10" customWidth="1"/>
    <col min="10509" max="10754" width="9.109375" style="10"/>
    <col min="10755" max="10755" width="12" style="10" bestFit="1" customWidth="1"/>
    <col min="10756" max="10759" width="9.109375" style="10"/>
    <col min="10760" max="10760" width="17.33203125" style="10" customWidth="1"/>
    <col min="10761" max="10763" width="9.6640625" style="10" customWidth="1"/>
    <col min="10764" max="10764" width="15" style="10" customWidth="1"/>
    <col min="10765" max="11010" width="9.109375" style="10"/>
    <col min="11011" max="11011" width="12" style="10" bestFit="1" customWidth="1"/>
    <col min="11012" max="11015" width="9.109375" style="10"/>
    <col min="11016" max="11016" width="17.33203125" style="10" customWidth="1"/>
    <col min="11017" max="11019" width="9.6640625" style="10" customWidth="1"/>
    <col min="11020" max="11020" width="15" style="10" customWidth="1"/>
    <col min="11021" max="11266" width="9.109375" style="10"/>
    <col min="11267" max="11267" width="12" style="10" bestFit="1" customWidth="1"/>
    <col min="11268" max="11271" width="9.109375" style="10"/>
    <col min="11272" max="11272" width="17.33203125" style="10" customWidth="1"/>
    <col min="11273" max="11275" width="9.6640625" style="10" customWidth="1"/>
    <col min="11276" max="11276" width="15" style="10" customWidth="1"/>
    <col min="11277" max="11522" width="9.109375" style="10"/>
    <col min="11523" max="11523" width="12" style="10" bestFit="1" customWidth="1"/>
    <col min="11524" max="11527" width="9.109375" style="10"/>
    <col min="11528" max="11528" width="17.33203125" style="10" customWidth="1"/>
    <col min="11529" max="11531" width="9.6640625" style="10" customWidth="1"/>
    <col min="11532" max="11532" width="15" style="10" customWidth="1"/>
    <col min="11533" max="11778" width="9.109375" style="10"/>
    <col min="11779" max="11779" width="12" style="10" bestFit="1" customWidth="1"/>
    <col min="11780" max="11783" width="9.109375" style="10"/>
    <col min="11784" max="11784" width="17.33203125" style="10" customWidth="1"/>
    <col min="11785" max="11787" width="9.6640625" style="10" customWidth="1"/>
    <col min="11788" max="11788" width="15" style="10" customWidth="1"/>
    <col min="11789" max="12034" width="9.109375" style="10"/>
    <col min="12035" max="12035" width="12" style="10" bestFit="1" customWidth="1"/>
    <col min="12036" max="12039" width="9.109375" style="10"/>
    <col min="12040" max="12040" width="17.33203125" style="10" customWidth="1"/>
    <col min="12041" max="12043" width="9.6640625" style="10" customWidth="1"/>
    <col min="12044" max="12044" width="15" style="10" customWidth="1"/>
    <col min="12045" max="12290" width="9.109375" style="10"/>
    <col min="12291" max="12291" width="12" style="10" bestFit="1" customWidth="1"/>
    <col min="12292" max="12295" width="9.109375" style="10"/>
    <col min="12296" max="12296" width="17.33203125" style="10" customWidth="1"/>
    <col min="12297" max="12299" width="9.6640625" style="10" customWidth="1"/>
    <col min="12300" max="12300" width="15" style="10" customWidth="1"/>
    <col min="12301" max="12546" width="9.109375" style="10"/>
    <col min="12547" max="12547" width="12" style="10" bestFit="1" customWidth="1"/>
    <col min="12548" max="12551" width="9.109375" style="10"/>
    <col min="12552" max="12552" width="17.33203125" style="10" customWidth="1"/>
    <col min="12553" max="12555" width="9.6640625" style="10" customWidth="1"/>
    <col min="12556" max="12556" width="15" style="10" customWidth="1"/>
    <col min="12557" max="12802" width="9.109375" style="10"/>
    <col min="12803" max="12803" width="12" style="10" bestFit="1" customWidth="1"/>
    <col min="12804" max="12807" width="9.109375" style="10"/>
    <col min="12808" max="12808" width="17.33203125" style="10" customWidth="1"/>
    <col min="12809" max="12811" width="9.6640625" style="10" customWidth="1"/>
    <col min="12812" max="12812" width="15" style="10" customWidth="1"/>
    <col min="12813" max="13058" width="9.109375" style="10"/>
    <col min="13059" max="13059" width="12" style="10" bestFit="1" customWidth="1"/>
    <col min="13060" max="13063" width="9.109375" style="10"/>
    <col min="13064" max="13064" width="17.33203125" style="10" customWidth="1"/>
    <col min="13065" max="13067" width="9.6640625" style="10" customWidth="1"/>
    <col min="13068" max="13068" width="15" style="10" customWidth="1"/>
    <col min="13069" max="13314" width="9.109375" style="10"/>
    <col min="13315" max="13315" width="12" style="10" bestFit="1" customWidth="1"/>
    <col min="13316" max="13319" width="9.109375" style="10"/>
    <col min="13320" max="13320" width="17.33203125" style="10" customWidth="1"/>
    <col min="13321" max="13323" width="9.6640625" style="10" customWidth="1"/>
    <col min="13324" max="13324" width="15" style="10" customWidth="1"/>
    <col min="13325" max="13570" width="9.109375" style="10"/>
    <col min="13571" max="13571" width="12" style="10" bestFit="1" customWidth="1"/>
    <col min="13572" max="13575" width="9.109375" style="10"/>
    <col min="13576" max="13576" width="17.33203125" style="10" customWidth="1"/>
    <col min="13577" max="13579" width="9.6640625" style="10" customWidth="1"/>
    <col min="13580" max="13580" width="15" style="10" customWidth="1"/>
    <col min="13581" max="13826" width="9.109375" style="10"/>
    <col min="13827" max="13827" width="12" style="10" bestFit="1" customWidth="1"/>
    <col min="13828" max="13831" width="9.109375" style="10"/>
    <col min="13832" max="13832" width="17.33203125" style="10" customWidth="1"/>
    <col min="13833" max="13835" width="9.6640625" style="10" customWidth="1"/>
    <col min="13836" max="13836" width="15" style="10" customWidth="1"/>
    <col min="13837" max="14082" width="9.109375" style="10"/>
    <col min="14083" max="14083" width="12" style="10" bestFit="1" customWidth="1"/>
    <col min="14084" max="14087" width="9.109375" style="10"/>
    <col min="14088" max="14088" width="17.33203125" style="10" customWidth="1"/>
    <col min="14089" max="14091" width="9.6640625" style="10" customWidth="1"/>
    <col min="14092" max="14092" width="15" style="10" customWidth="1"/>
    <col min="14093" max="14338" width="9.109375" style="10"/>
    <col min="14339" max="14339" width="12" style="10" bestFit="1" customWidth="1"/>
    <col min="14340" max="14343" width="9.109375" style="10"/>
    <col min="14344" max="14344" width="17.33203125" style="10" customWidth="1"/>
    <col min="14345" max="14347" width="9.6640625" style="10" customWidth="1"/>
    <col min="14348" max="14348" width="15" style="10" customWidth="1"/>
    <col min="14349" max="14594" width="9.109375" style="10"/>
    <col min="14595" max="14595" width="12" style="10" bestFit="1" customWidth="1"/>
    <col min="14596" max="14599" width="9.109375" style="10"/>
    <col min="14600" max="14600" width="17.33203125" style="10" customWidth="1"/>
    <col min="14601" max="14603" width="9.6640625" style="10" customWidth="1"/>
    <col min="14604" max="14604" width="15" style="10" customWidth="1"/>
    <col min="14605" max="14850" width="9.109375" style="10"/>
    <col min="14851" max="14851" width="12" style="10" bestFit="1" customWidth="1"/>
    <col min="14852" max="14855" width="9.109375" style="10"/>
    <col min="14856" max="14856" width="17.33203125" style="10" customWidth="1"/>
    <col min="14857" max="14859" width="9.6640625" style="10" customWidth="1"/>
    <col min="14860" max="14860" width="15" style="10" customWidth="1"/>
    <col min="14861" max="15106" width="9.109375" style="10"/>
    <col min="15107" max="15107" width="12" style="10" bestFit="1" customWidth="1"/>
    <col min="15108" max="15111" width="9.109375" style="10"/>
    <col min="15112" max="15112" width="17.33203125" style="10" customWidth="1"/>
    <col min="15113" max="15115" width="9.6640625" style="10" customWidth="1"/>
    <col min="15116" max="15116" width="15" style="10" customWidth="1"/>
    <col min="15117" max="15362" width="9.109375" style="10"/>
    <col min="15363" max="15363" width="12" style="10" bestFit="1" customWidth="1"/>
    <col min="15364" max="15367" width="9.109375" style="10"/>
    <col min="15368" max="15368" width="17.33203125" style="10" customWidth="1"/>
    <col min="15369" max="15371" width="9.6640625" style="10" customWidth="1"/>
    <col min="15372" max="15372" width="15" style="10" customWidth="1"/>
    <col min="15373" max="15618" width="9.109375" style="10"/>
    <col min="15619" max="15619" width="12" style="10" bestFit="1" customWidth="1"/>
    <col min="15620" max="15623" width="9.109375" style="10"/>
    <col min="15624" max="15624" width="17.33203125" style="10" customWidth="1"/>
    <col min="15625" max="15627" width="9.6640625" style="10" customWidth="1"/>
    <col min="15628" max="15628" width="15" style="10" customWidth="1"/>
    <col min="15629" max="15874" width="9.109375" style="10"/>
    <col min="15875" max="15875" width="12" style="10" bestFit="1" customWidth="1"/>
    <col min="15876" max="15879" width="9.109375" style="10"/>
    <col min="15880" max="15880" width="17.33203125" style="10" customWidth="1"/>
    <col min="15881" max="15883" width="9.6640625" style="10" customWidth="1"/>
    <col min="15884" max="15884" width="15" style="10" customWidth="1"/>
    <col min="15885" max="16130" width="9.109375" style="10"/>
    <col min="16131" max="16131" width="12" style="10" bestFit="1" customWidth="1"/>
    <col min="16132" max="16135" width="9.109375" style="10"/>
    <col min="16136" max="16136" width="17.33203125" style="10" customWidth="1"/>
    <col min="16137" max="16139" width="9.6640625" style="10" customWidth="1"/>
    <col min="16140" max="16140" width="15" style="10" customWidth="1"/>
    <col min="16141" max="16384" width="9.109375" style="10"/>
  </cols>
  <sheetData>
    <row r="1" spans="1:12" ht="15.6">
      <c r="L1" s="275" t="s">
        <v>286</v>
      </c>
    </row>
    <row r="2" spans="1:12" ht="8.25" customHeight="1">
      <c r="L2" s="94"/>
    </row>
    <row r="3" spans="1:12" ht="15.75" customHeight="1">
      <c r="A3" s="95" t="str">
        <f>'Pg 7 WAF No CPI'!A3</f>
        <v>X.002-180-2024/1RF</v>
      </c>
      <c r="B3" s="96"/>
      <c r="C3" s="276"/>
      <c r="D3" s="98"/>
      <c r="E3" s="98"/>
      <c r="F3" s="1392">
        <f>'F1  Cover'!L8</f>
        <v>46053</v>
      </c>
      <c r="G3" s="1392"/>
      <c r="H3" s="1408" t="s">
        <v>207</v>
      </c>
      <c r="I3" s="1408"/>
      <c r="J3" s="1408"/>
      <c r="K3" s="1409">
        <f>'F1  Cover'!K8</f>
        <v>1</v>
      </c>
      <c r="L3" s="1410"/>
    </row>
    <row r="4" spans="1:12" ht="15.75" customHeight="1" thickBot="1"/>
    <row r="5" spans="1:12" ht="15.75" customHeight="1">
      <c r="A5" s="193"/>
      <c r="B5" s="194"/>
      <c r="C5" s="194"/>
      <c r="D5" s="194"/>
      <c r="E5" s="194"/>
      <c r="F5" s="194"/>
      <c r="G5" s="194"/>
      <c r="H5" s="194"/>
      <c r="I5" s="194"/>
      <c r="J5" s="194"/>
      <c r="K5" s="194"/>
      <c r="L5" s="277"/>
    </row>
    <row r="6" spans="1:12" ht="15.75" customHeight="1">
      <c r="A6" s="1349" t="s">
        <v>287</v>
      </c>
      <c r="B6" s="1350"/>
      <c r="C6" s="1350"/>
      <c r="D6" s="1350"/>
      <c r="E6" s="1350"/>
      <c r="F6" s="1350"/>
      <c r="G6" s="1350"/>
      <c r="H6" s="1350"/>
      <c r="I6" s="1350"/>
      <c r="J6" s="1350"/>
      <c r="K6" s="1350"/>
      <c r="L6" s="1351"/>
    </row>
    <row r="7" spans="1:12" ht="15.75" customHeight="1" thickBot="1">
      <c r="A7" s="278"/>
      <c r="L7" s="279"/>
    </row>
    <row r="8" spans="1:12" ht="15.75" customHeight="1" thickBot="1">
      <c r="A8" s="1439" t="s">
        <v>0</v>
      </c>
      <c r="B8" s="1440"/>
      <c r="C8" s="1440"/>
      <c r="D8" s="1440"/>
      <c r="E8" s="1440"/>
      <c r="F8" s="1440"/>
      <c r="G8" s="1440"/>
      <c r="H8" s="1441"/>
      <c r="I8" s="280" t="s">
        <v>1</v>
      </c>
      <c r="J8" s="280" t="s">
        <v>2</v>
      </c>
      <c r="K8" s="280" t="s">
        <v>3</v>
      </c>
      <c r="L8" s="281" t="s">
        <v>231</v>
      </c>
    </row>
    <row r="9" spans="1:12" ht="12.75" customHeight="1">
      <c r="A9" s="1479" t="s">
        <v>275</v>
      </c>
      <c r="B9" s="1480"/>
      <c r="C9" s="1480"/>
      <c r="D9" s="1480"/>
      <c r="E9" s="1480"/>
      <c r="F9" s="1480"/>
      <c r="G9" s="1480"/>
      <c r="H9" s="1480"/>
      <c r="I9" s="296"/>
      <c r="J9" s="296"/>
      <c r="K9" s="296"/>
      <c r="L9" s="297"/>
    </row>
    <row r="10" spans="1:12" ht="12.75" customHeight="1">
      <c r="A10" s="1479" t="s">
        <v>288</v>
      </c>
      <c r="B10" s="1480"/>
      <c r="C10" s="1480"/>
      <c r="D10" s="1480"/>
      <c r="E10" s="1480"/>
      <c r="F10" s="1480"/>
      <c r="G10" s="1480"/>
      <c r="H10" s="1480"/>
      <c r="I10" s="296"/>
      <c r="J10" s="296"/>
      <c r="K10" s="296"/>
      <c r="L10" s="297"/>
    </row>
    <row r="11" spans="1:12">
      <c r="A11" s="1477" t="s">
        <v>213</v>
      </c>
      <c r="B11" s="1478"/>
      <c r="C11" s="1478"/>
      <c r="D11" s="1478"/>
      <c r="E11" s="1478"/>
      <c r="F11" s="1478"/>
      <c r="G11" s="1478"/>
      <c r="H11" s="1478"/>
      <c r="I11" s="285"/>
      <c r="J11" s="298"/>
      <c r="K11" s="299"/>
      <c r="L11" s="288"/>
    </row>
    <row r="12" spans="1:12">
      <c r="A12" s="1477"/>
      <c r="B12" s="1478"/>
      <c r="C12" s="1478"/>
      <c r="D12" s="1478"/>
      <c r="E12" s="1478"/>
      <c r="F12" s="1478"/>
      <c r="G12" s="1478"/>
      <c r="H12" s="1478"/>
      <c r="I12" s="285"/>
      <c r="J12" s="298"/>
      <c r="K12" s="299"/>
      <c r="L12" s="288"/>
    </row>
    <row r="13" spans="1:12">
      <c r="A13" s="1481"/>
      <c r="B13" s="1482"/>
      <c r="C13" s="1482"/>
      <c r="D13" s="1482"/>
      <c r="E13" s="1482"/>
      <c r="F13" s="1482"/>
      <c r="G13" s="1482"/>
      <c r="H13" s="1483"/>
      <c r="I13" s="285"/>
      <c r="J13" s="285"/>
      <c r="K13" s="299"/>
      <c r="L13" s="288"/>
    </row>
    <row r="14" spans="1:12">
      <c r="A14" s="1481"/>
      <c r="B14" s="1482"/>
      <c r="C14" s="1482"/>
      <c r="D14" s="1482"/>
      <c r="E14" s="1482"/>
      <c r="F14" s="1482"/>
      <c r="G14" s="1482"/>
      <c r="H14" s="1483"/>
      <c r="I14" s="285"/>
      <c r="J14" s="285"/>
      <c r="K14" s="299"/>
      <c r="L14" s="288"/>
    </row>
    <row r="15" spans="1:12">
      <c r="A15" s="1481"/>
      <c r="B15" s="1482"/>
      <c r="C15" s="1482"/>
      <c r="D15" s="1482"/>
      <c r="E15" s="1482"/>
      <c r="F15" s="1482"/>
      <c r="G15" s="1482"/>
      <c r="H15" s="1483"/>
      <c r="I15" s="285"/>
      <c r="J15" s="285"/>
      <c r="K15" s="299"/>
      <c r="L15" s="288"/>
    </row>
    <row r="16" spans="1:12">
      <c r="A16" s="1477"/>
      <c r="B16" s="1478"/>
      <c r="C16" s="1478"/>
      <c r="D16" s="1478"/>
      <c r="E16" s="1478"/>
      <c r="F16" s="1478"/>
      <c r="G16" s="1478"/>
      <c r="H16" s="1478"/>
      <c r="I16" s="285"/>
      <c r="J16" s="298"/>
      <c r="K16" s="299"/>
      <c r="L16" s="288"/>
    </row>
    <row r="17" spans="1:12">
      <c r="A17" s="1477"/>
      <c r="B17" s="1478"/>
      <c r="C17" s="1478"/>
      <c r="D17" s="1478"/>
      <c r="E17" s="1478"/>
      <c r="F17" s="1478"/>
      <c r="G17" s="1478"/>
      <c r="H17" s="1478"/>
      <c r="I17" s="285"/>
      <c r="J17" s="298"/>
      <c r="K17" s="299"/>
      <c r="L17" s="288"/>
    </row>
    <row r="18" spans="1:12">
      <c r="A18" s="1462"/>
      <c r="B18" s="1463"/>
      <c r="C18" s="1463"/>
      <c r="D18" s="1463"/>
      <c r="E18" s="1463"/>
      <c r="F18" s="1463"/>
      <c r="G18" s="1463"/>
      <c r="H18" s="1464"/>
      <c r="I18" s="1465" t="s">
        <v>289</v>
      </c>
      <c r="J18" s="1466"/>
      <c r="K18" s="1467"/>
      <c r="L18" s="289">
        <f>SUM(L11:L17)</f>
        <v>0</v>
      </c>
    </row>
    <row r="19" spans="1:12">
      <c r="A19" s="1484"/>
      <c r="B19" s="1485"/>
      <c r="C19" s="1485"/>
      <c r="D19" s="1485"/>
      <c r="E19" s="1485"/>
      <c r="F19" s="1485"/>
      <c r="G19" s="1485"/>
      <c r="H19" s="1485"/>
      <c r="I19" s="459"/>
      <c r="J19" s="518"/>
      <c r="K19" s="519"/>
      <c r="L19" s="289"/>
    </row>
    <row r="20" spans="1:12">
      <c r="A20" s="1486" t="s">
        <v>277</v>
      </c>
      <c r="B20" s="1487"/>
      <c r="C20" s="1487"/>
      <c r="D20" s="1487"/>
      <c r="E20" s="1487"/>
      <c r="F20" s="1487"/>
      <c r="G20" s="1487"/>
      <c r="H20" s="1487"/>
      <c r="I20" s="284"/>
      <c r="J20" s="284"/>
      <c r="K20" s="300"/>
      <c r="L20" s="289"/>
    </row>
    <row r="21" spans="1:12">
      <c r="A21" s="1486" t="s">
        <v>288</v>
      </c>
      <c r="B21" s="1487"/>
      <c r="C21" s="1487"/>
      <c r="D21" s="1487"/>
      <c r="E21" s="1487"/>
      <c r="F21" s="1487"/>
      <c r="G21" s="1487"/>
      <c r="H21" s="1487"/>
      <c r="I21" s="284"/>
      <c r="J21" s="284"/>
      <c r="K21" s="300"/>
      <c r="L21" s="289"/>
    </row>
    <row r="22" spans="1:12">
      <c r="A22" s="1477" t="s">
        <v>213</v>
      </c>
      <c r="B22" s="1478"/>
      <c r="C22" s="1478"/>
      <c r="D22" s="1478"/>
      <c r="E22" s="1478"/>
      <c r="F22" s="1478"/>
      <c r="G22" s="1478"/>
      <c r="H22" s="1478"/>
      <c r="I22" s="285"/>
      <c r="J22" s="285"/>
      <c r="K22" s="299"/>
      <c r="L22" s="288"/>
    </row>
    <row r="23" spans="1:12">
      <c r="A23" s="1481"/>
      <c r="B23" s="1482"/>
      <c r="C23" s="1482"/>
      <c r="D23" s="1482"/>
      <c r="E23" s="1482"/>
      <c r="F23" s="1482"/>
      <c r="G23" s="1482"/>
      <c r="H23" s="1483"/>
      <c r="I23" s="285"/>
      <c r="J23" s="285"/>
      <c r="K23" s="299"/>
      <c r="L23" s="288"/>
    </row>
    <row r="24" spans="1:12">
      <c r="A24" s="1481"/>
      <c r="B24" s="1482"/>
      <c r="C24" s="1482"/>
      <c r="D24" s="1482"/>
      <c r="E24" s="1482"/>
      <c r="F24" s="1482"/>
      <c r="G24" s="1482"/>
      <c r="H24" s="1483"/>
      <c r="I24" s="285"/>
      <c r="J24" s="285"/>
      <c r="K24" s="299"/>
      <c r="L24" s="288"/>
    </row>
    <row r="25" spans="1:12">
      <c r="A25" s="1481"/>
      <c r="B25" s="1482"/>
      <c r="C25" s="1482"/>
      <c r="D25" s="1482"/>
      <c r="E25" s="1482"/>
      <c r="F25" s="1482"/>
      <c r="G25" s="1482"/>
      <c r="H25" s="1483"/>
      <c r="I25" s="285"/>
      <c r="J25" s="285"/>
      <c r="K25" s="299"/>
      <c r="L25" s="288"/>
    </row>
    <row r="26" spans="1:12">
      <c r="A26" s="1481"/>
      <c r="B26" s="1482"/>
      <c r="C26" s="1482"/>
      <c r="D26" s="1482"/>
      <c r="E26" s="1482"/>
      <c r="F26" s="1482"/>
      <c r="G26" s="1482"/>
      <c r="H26" s="1483"/>
      <c r="I26" s="285"/>
      <c r="J26" s="285"/>
      <c r="K26" s="299"/>
      <c r="L26" s="288"/>
    </row>
    <row r="27" spans="1:12">
      <c r="A27" s="1481"/>
      <c r="B27" s="1482"/>
      <c r="C27" s="1482"/>
      <c r="D27" s="1482"/>
      <c r="E27" s="1482"/>
      <c r="F27" s="1482"/>
      <c r="G27" s="1482"/>
      <c r="H27" s="1483"/>
      <c r="I27" s="285"/>
      <c r="J27" s="285"/>
      <c r="K27" s="299"/>
      <c r="L27" s="288"/>
    </row>
    <row r="28" spans="1:12">
      <c r="A28" s="1481"/>
      <c r="B28" s="1482"/>
      <c r="C28" s="1482"/>
      <c r="D28" s="1482"/>
      <c r="E28" s="1482"/>
      <c r="F28" s="1482"/>
      <c r="G28" s="1482"/>
      <c r="H28" s="1483"/>
      <c r="I28" s="285"/>
      <c r="J28" s="285"/>
      <c r="K28" s="299"/>
      <c r="L28" s="288"/>
    </row>
    <row r="29" spans="1:12">
      <c r="A29" s="1481"/>
      <c r="B29" s="1482"/>
      <c r="C29" s="1482"/>
      <c r="D29" s="1482"/>
      <c r="E29" s="1482"/>
      <c r="F29" s="1482"/>
      <c r="G29" s="1482"/>
      <c r="H29" s="1483"/>
      <c r="I29" s="285"/>
      <c r="J29" s="285"/>
      <c r="K29" s="299"/>
      <c r="L29" s="288"/>
    </row>
    <row r="30" spans="1:12">
      <c r="A30" s="1462"/>
      <c r="B30" s="1463"/>
      <c r="C30" s="1463"/>
      <c r="D30" s="1463"/>
      <c r="E30" s="1463"/>
      <c r="F30" s="1463"/>
      <c r="G30" s="1463"/>
      <c r="H30" s="1464"/>
      <c r="I30" s="1465" t="s">
        <v>290</v>
      </c>
      <c r="J30" s="1466"/>
      <c r="K30" s="1467"/>
      <c r="L30" s="289"/>
    </row>
    <row r="31" spans="1:12">
      <c r="A31" s="1462"/>
      <c r="B31" s="1463"/>
      <c r="C31" s="1463"/>
      <c r="D31" s="1463"/>
      <c r="E31" s="1463"/>
      <c r="F31" s="1463"/>
      <c r="G31" s="1463"/>
      <c r="H31" s="1464"/>
      <c r="I31" s="284"/>
      <c r="J31" s="284"/>
      <c r="K31" s="284"/>
      <c r="L31" s="289"/>
    </row>
    <row r="32" spans="1:12">
      <c r="A32" s="1452" t="s">
        <v>291</v>
      </c>
      <c r="B32" s="1453"/>
      <c r="C32" s="1453"/>
      <c r="D32" s="1453"/>
      <c r="E32" s="1453"/>
      <c r="F32" s="1453"/>
      <c r="G32" s="1453"/>
      <c r="H32" s="1454"/>
      <c r="I32" s="284"/>
      <c r="J32" s="284"/>
      <c r="K32" s="284"/>
      <c r="L32" s="290">
        <f>L18</f>
        <v>0</v>
      </c>
    </row>
    <row r="33" spans="1:12" ht="13.8" thickBot="1">
      <c r="A33" s="1452" t="s">
        <v>292</v>
      </c>
      <c r="B33" s="1453"/>
      <c r="C33" s="1453"/>
      <c r="D33" s="1453"/>
      <c r="E33" s="1453"/>
      <c r="F33" s="1453"/>
      <c r="G33" s="1453"/>
      <c r="H33" s="1454"/>
      <c r="I33" s="284"/>
      <c r="J33" s="284"/>
      <c r="K33" s="520"/>
      <c r="L33" s="290">
        <f>L30</f>
        <v>0</v>
      </c>
    </row>
    <row r="34" spans="1:12" ht="21" customHeight="1" thickBot="1">
      <c r="A34" s="1432" t="s">
        <v>293</v>
      </c>
      <c r="B34" s="1433"/>
      <c r="C34" s="1433"/>
      <c r="D34" s="1433"/>
      <c r="E34" s="1433"/>
      <c r="F34" s="1433"/>
      <c r="G34" s="1433"/>
      <c r="H34" s="1433"/>
      <c r="I34" s="1433"/>
      <c r="J34" s="1433"/>
      <c r="K34" s="1434"/>
      <c r="L34" s="295">
        <f>L32+L33</f>
        <v>0</v>
      </c>
    </row>
  </sheetData>
  <mergeCells count="33">
    <mergeCell ref="A33:H33"/>
    <mergeCell ref="A34:K34"/>
    <mergeCell ref="A28:H28"/>
    <mergeCell ref="A29:H29"/>
    <mergeCell ref="A30:H30"/>
    <mergeCell ref="I30:K30"/>
    <mergeCell ref="A31:H31"/>
    <mergeCell ref="A32:H32"/>
    <mergeCell ref="A27:H27"/>
    <mergeCell ref="A17:H17"/>
    <mergeCell ref="A18:H18"/>
    <mergeCell ref="I18:K18"/>
    <mergeCell ref="A19:H19"/>
    <mergeCell ref="A20:H20"/>
    <mergeCell ref="A21:H21"/>
    <mergeCell ref="A22:H22"/>
    <mergeCell ref="A23:H23"/>
    <mergeCell ref="A24:H24"/>
    <mergeCell ref="A25:H25"/>
    <mergeCell ref="A26:H26"/>
    <mergeCell ref="A16:H16"/>
    <mergeCell ref="H3:J3"/>
    <mergeCell ref="K3:L3"/>
    <mergeCell ref="A6:L6"/>
    <mergeCell ref="A8:H8"/>
    <mergeCell ref="A9:H9"/>
    <mergeCell ref="A10:H10"/>
    <mergeCell ref="A11:H11"/>
    <mergeCell ref="A12:H12"/>
    <mergeCell ref="A13:H13"/>
    <mergeCell ref="A14:H14"/>
    <mergeCell ref="A15:H15"/>
    <mergeCell ref="F3:G3"/>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 Sensitivity - General&amp;1#_x000D_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5">
    <tabColor rgb="FF0070C0"/>
    <pageSetUpPr fitToPage="1"/>
  </sheetPr>
  <dimension ref="A1:U93"/>
  <sheetViews>
    <sheetView zoomScaleNormal="100" zoomScaleSheetLayoutView="75" workbookViewId="0">
      <selection sqref="A1:E1"/>
    </sheetView>
  </sheetViews>
  <sheetFormatPr defaultRowHeight="13.2"/>
  <cols>
    <col min="1" max="1" width="6.6640625" style="10" customWidth="1"/>
    <col min="2" max="2" width="9.33203125" style="10" customWidth="1"/>
    <col min="3" max="4" width="6.6640625" style="10" customWidth="1"/>
    <col min="5" max="5" width="12.6640625" style="10" customWidth="1"/>
    <col min="6" max="6" width="15.44140625" style="10" customWidth="1"/>
    <col min="7" max="7" width="13.6640625" style="10" customWidth="1"/>
    <col min="8" max="8" width="6.6640625" style="10" customWidth="1"/>
    <col min="9" max="9" width="9.33203125" style="10" customWidth="1"/>
    <col min="10" max="10" width="6.6640625" style="10" customWidth="1"/>
    <col min="11" max="11" width="3.33203125" style="10" customWidth="1"/>
    <col min="12" max="12" width="12.6640625" style="10" customWidth="1"/>
    <col min="13" max="13" width="14.88671875" style="10" customWidth="1"/>
    <col min="14" max="14" width="13.6640625" style="10" customWidth="1"/>
    <col min="15" max="256" width="9.109375" style="10"/>
    <col min="257" max="257" width="6.6640625" style="10" customWidth="1"/>
    <col min="258" max="258" width="9.33203125" style="10" customWidth="1"/>
    <col min="259" max="260" width="6.6640625" style="10" customWidth="1"/>
    <col min="261" max="261" width="12.6640625" style="10" customWidth="1"/>
    <col min="262" max="262" width="15.44140625" style="10" customWidth="1"/>
    <col min="263" max="263" width="13.6640625" style="10" customWidth="1"/>
    <col min="264" max="264" width="6.6640625" style="10" customWidth="1"/>
    <col min="265" max="265" width="9.33203125" style="10" customWidth="1"/>
    <col min="266" max="266" width="6.6640625" style="10" customWidth="1"/>
    <col min="267" max="267" width="3.33203125" style="10" customWidth="1"/>
    <col min="268" max="268" width="12.6640625" style="10" customWidth="1"/>
    <col min="269" max="269" width="14.88671875" style="10" customWidth="1"/>
    <col min="270" max="270" width="13.6640625" style="10" customWidth="1"/>
    <col min="271" max="512" width="9.109375" style="10"/>
    <col min="513" max="513" width="6.6640625" style="10" customWidth="1"/>
    <col min="514" max="514" width="9.33203125" style="10" customWidth="1"/>
    <col min="515" max="516" width="6.6640625" style="10" customWidth="1"/>
    <col min="517" max="517" width="12.6640625" style="10" customWidth="1"/>
    <col min="518" max="518" width="15.44140625" style="10" customWidth="1"/>
    <col min="519" max="519" width="13.6640625" style="10" customWidth="1"/>
    <col min="520" max="520" width="6.6640625" style="10" customWidth="1"/>
    <col min="521" max="521" width="9.33203125" style="10" customWidth="1"/>
    <col min="522" max="522" width="6.6640625" style="10" customWidth="1"/>
    <col min="523" max="523" width="3.33203125" style="10" customWidth="1"/>
    <col min="524" max="524" width="12.6640625" style="10" customWidth="1"/>
    <col min="525" max="525" width="14.88671875" style="10" customWidth="1"/>
    <col min="526" max="526" width="13.6640625" style="10" customWidth="1"/>
    <col min="527" max="768" width="9.109375" style="10"/>
    <col min="769" max="769" width="6.6640625" style="10" customWidth="1"/>
    <col min="770" max="770" width="9.33203125" style="10" customWidth="1"/>
    <col min="771" max="772" width="6.6640625" style="10" customWidth="1"/>
    <col min="773" max="773" width="12.6640625" style="10" customWidth="1"/>
    <col min="774" max="774" width="15.44140625" style="10" customWidth="1"/>
    <col min="775" max="775" width="13.6640625" style="10" customWidth="1"/>
    <col min="776" max="776" width="6.6640625" style="10" customWidth="1"/>
    <col min="777" max="777" width="9.33203125" style="10" customWidth="1"/>
    <col min="778" max="778" width="6.6640625" style="10" customWidth="1"/>
    <col min="779" max="779" width="3.33203125" style="10" customWidth="1"/>
    <col min="780" max="780" width="12.6640625" style="10" customWidth="1"/>
    <col min="781" max="781" width="14.88671875" style="10" customWidth="1"/>
    <col min="782" max="782" width="13.6640625" style="10" customWidth="1"/>
    <col min="783" max="1024" width="9.109375" style="10"/>
    <col min="1025" max="1025" width="6.6640625" style="10" customWidth="1"/>
    <col min="1026" max="1026" width="9.33203125" style="10" customWidth="1"/>
    <col min="1027" max="1028" width="6.6640625" style="10" customWidth="1"/>
    <col min="1029" max="1029" width="12.6640625" style="10" customWidth="1"/>
    <col min="1030" max="1030" width="15.44140625" style="10" customWidth="1"/>
    <col min="1031" max="1031" width="13.6640625" style="10" customWidth="1"/>
    <col min="1032" max="1032" width="6.6640625" style="10" customWidth="1"/>
    <col min="1033" max="1033" width="9.33203125" style="10" customWidth="1"/>
    <col min="1034" max="1034" width="6.6640625" style="10" customWidth="1"/>
    <col min="1035" max="1035" width="3.33203125" style="10" customWidth="1"/>
    <col min="1036" max="1036" width="12.6640625" style="10" customWidth="1"/>
    <col min="1037" max="1037" width="14.88671875" style="10" customWidth="1"/>
    <col min="1038" max="1038" width="13.6640625" style="10" customWidth="1"/>
    <col min="1039" max="1280" width="9.109375" style="10"/>
    <col min="1281" max="1281" width="6.6640625" style="10" customWidth="1"/>
    <col min="1282" max="1282" width="9.33203125" style="10" customWidth="1"/>
    <col min="1283" max="1284" width="6.6640625" style="10" customWidth="1"/>
    <col min="1285" max="1285" width="12.6640625" style="10" customWidth="1"/>
    <col min="1286" max="1286" width="15.44140625" style="10" customWidth="1"/>
    <col min="1287" max="1287" width="13.6640625" style="10" customWidth="1"/>
    <col min="1288" max="1288" width="6.6640625" style="10" customWidth="1"/>
    <col min="1289" max="1289" width="9.33203125" style="10" customWidth="1"/>
    <col min="1290" max="1290" width="6.6640625" style="10" customWidth="1"/>
    <col min="1291" max="1291" width="3.33203125" style="10" customWidth="1"/>
    <col min="1292" max="1292" width="12.6640625" style="10" customWidth="1"/>
    <col min="1293" max="1293" width="14.88671875" style="10" customWidth="1"/>
    <col min="1294" max="1294" width="13.6640625" style="10" customWidth="1"/>
    <col min="1295" max="1536" width="9.109375" style="10"/>
    <col min="1537" max="1537" width="6.6640625" style="10" customWidth="1"/>
    <col min="1538" max="1538" width="9.33203125" style="10" customWidth="1"/>
    <col min="1539" max="1540" width="6.6640625" style="10" customWidth="1"/>
    <col min="1541" max="1541" width="12.6640625" style="10" customWidth="1"/>
    <col min="1542" max="1542" width="15.44140625" style="10" customWidth="1"/>
    <col min="1543" max="1543" width="13.6640625" style="10" customWidth="1"/>
    <col min="1544" max="1544" width="6.6640625" style="10" customWidth="1"/>
    <col min="1545" max="1545" width="9.33203125" style="10" customWidth="1"/>
    <col min="1546" max="1546" width="6.6640625" style="10" customWidth="1"/>
    <col min="1547" max="1547" width="3.33203125" style="10" customWidth="1"/>
    <col min="1548" max="1548" width="12.6640625" style="10" customWidth="1"/>
    <col min="1549" max="1549" width="14.88671875" style="10" customWidth="1"/>
    <col min="1550" max="1550" width="13.6640625" style="10" customWidth="1"/>
    <col min="1551" max="1792" width="9.109375" style="10"/>
    <col min="1793" max="1793" width="6.6640625" style="10" customWidth="1"/>
    <col min="1794" max="1794" width="9.33203125" style="10" customWidth="1"/>
    <col min="1795" max="1796" width="6.6640625" style="10" customWidth="1"/>
    <col min="1797" max="1797" width="12.6640625" style="10" customWidth="1"/>
    <col min="1798" max="1798" width="15.44140625" style="10" customWidth="1"/>
    <col min="1799" max="1799" width="13.6640625" style="10" customWidth="1"/>
    <col min="1800" max="1800" width="6.6640625" style="10" customWidth="1"/>
    <col min="1801" max="1801" width="9.33203125" style="10" customWidth="1"/>
    <col min="1802" max="1802" width="6.6640625" style="10" customWidth="1"/>
    <col min="1803" max="1803" width="3.33203125" style="10" customWidth="1"/>
    <col min="1804" max="1804" width="12.6640625" style="10" customWidth="1"/>
    <col min="1805" max="1805" width="14.88671875" style="10" customWidth="1"/>
    <col min="1806" max="1806" width="13.6640625" style="10" customWidth="1"/>
    <col min="1807" max="2048" width="9.109375" style="10"/>
    <col min="2049" max="2049" width="6.6640625" style="10" customWidth="1"/>
    <col min="2050" max="2050" width="9.33203125" style="10" customWidth="1"/>
    <col min="2051" max="2052" width="6.6640625" style="10" customWidth="1"/>
    <col min="2053" max="2053" width="12.6640625" style="10" customWidth="1"/>
    <col min="2054" max="2054" width="15.44140625" style="10" customWidth="1"/>
    <col min="2055" max="2055" width="13.6640625" style="10" customWidth="1"/>
    <col min="2056" max="2056" width="6.6640625" style="10" customWidth="1"/>
    <col min="2057" max="2057" width="9.33203125" style="10" customWidth="1"/>
    <col min="2058" max="2058" width="6.6640625" style="10" customWidth="1"/>
    <col min="2059" max="2059" width="3.33203125" style="10" customWidth="1"/>
    <col min="2060" max="2060" width="12.6640625" style="10" customWidth="1"/>
    <col min="2061" max="2061" width="14.88671875" style="10" customWidth="1"/>
    <col min="2062" max="2062" width="13.6640625" style="10" customWidth="1"/>
    <col min="2063" max="2304" width="9.109375" style="10"/>
    <col min="2305" max="2305" width="6.6640625" style="10" customWidth="1"/>
    <col min="2306" max="2306" width="9.33203125" style="10" customWidth="1"/>
    <col min="2307" max="2308" width="6.6640625" style="10" customWidth="1"/>
    <col min="2309" max="2309" width="12.6640625" style="10" customWidth="1"/>
    <col min="2310" max="2310" width="15.44140625" style="10" customWidth="1"/>
    <col min="2311" max="2311" width="13.6640625" style="10" customWidth="1"/>
    <col min="2312" max="2312" width="6.6640625" style="10" customWidth="1"/>
    <col min="2313" max="2313" width="9.33203125" style="10" customWidth="1"/>
    <col min="2314" max="2314" width="6.6640625" style="10" customWidth="1"/>
    <col min="2315" max="2315" width="3.33203125" style="10" customWidth="1"/>
    <col min="2316" max="2316" width="12.6640625" style="10" customWidth="1"/>
    <col min="2317" max="2317" width="14.88671875" style="10" customWidth="1"/>
    <col min="2318" max="2318" width="13.6640625" style="10" customWidth="1"/>
    <col min="2319" max="2560" width="9.109375" style="10"/>
    <col min="2561" max="2561" width="6.6640625" style="10" customWidth="1"/>
    <col min="2562" max="2562" width="9.33203125" style="10" customWidth="1"/>
    <col min="2563" max="2564" width="6.6640625" style="10" customWidth="1"/>
    <col min="2565" max="2565" width="12.6640625" style="10" customWidth="1"/>
    <col min="2566" max="2566" width="15.44140625" style="10" customWidth="1"/>
    <col min="2567" max="2567" width="13.6640625" style="10" customWidth="1"/>
    <col min="2568" max="2568" width="6.6640625" style="10" customWidth="1"/>
    <col min="2569" max="2569" width="9.33203125" style="10" customWidth="1"/>
    <col min="2570" max="2570" width="6.6640625" style="10" customWidth="1"/>
    <col min="2571" max="2571" width="3.33203125" style="10" customWidth="1"/>
    <col min="2572" max="2572" width="12.6640625" style="10" customWidth="1"/>
    <col min="2573" max="2573" width="14.88671875" style="10" customWidth="1"/>
    <col min="2574" max="2574" width="13.6640625" style="10" customWidth="1"/>
    <col min="2575" max="2816" width="9.109375" style="10"/>
    <col min="2817" max="2817" width="6.6640625" style="10" customWidth="1"/>
    <col min="2818" max="2818" width="9.33203125" style="10" customWidth="1"/>
    <col min="2819" max="2820" width="6.6640625" style="10" customWidth="1"/>
    <col min="2821" max="2821" width="12.6640625" style="10" customWidth="1"/>
    <col min="2822" max="2822" width="15.44140625" style="10" customWidth="1"/>
    <col min="2823" max="2823" width="13.6640625" style="10" customWidth="1"/>
    <col min="2824" max="2824" width="6.6640625" style="10" customWidth="1"/>
    <col min="2825" max="2825" width="9.33203125" style="10" customWidth="1"/>
    <col min="2826" max="2826" width="6.6640625" style="10" customWidth="1"/>
    <col min="2827" max="2827" width="3.33203125" style="10" customWidth="1"/>
    <col min="2828" max="2828" width="12.6640625" style="10" customWidth="1"/>
    <col min="2829" max="2829" width="14.88671875" style="10" customWidth="1"/>
    <col min="2830" max="2830" width="13.6640625" style="10" customWidth="1"/>
    <col min="2831" max="3072" width="9.109375" style="10"/>
    <col min="3073" max="3073" width="6.6640625" style="10" customWidth="1"/>
    <col min="3074" max="3074" width="9.33203125" style="10" customWidth="1"/>
    <col min="3075" max="3076" width="6.6640625" style="10" customWidth="1"/>
    <col min="3077" max="3077" width="12.6640625" style="10" customWidth="1"/>
    <col min="3078" max="3078" width="15.44140625" style="10" customWidth="1"/>
    <col min="3079" max="3079" width="13.6640625" style="10" customWidth="1"/>
    <col min="3080" max="3080" width="6.6640625" style="10" customWidth="1"/>
    <col min="3081" max="3081" width="9.33203125" style="10" customWidth="1"/>
    <col min="3082" max="3082" width="6.6640625" style="10" customWidth="1"/>
    <col min="3083" max="3083" width="3.33203125" style="10" customWidth="1"/>
    <col min="3084" max="3084" width="12.6640625" style="10" customWidth="1"/>
    <col min="3085" max="3085" width="14.88671875" style="10" customWidth="1"/>
    <col min="3086" max="3086" width="13.6640625" style="10" customWidth="1"/>
    <col min="3087" max="3328" width="9.109375" style="10"/>
    <col min="3329" max="3329" width="6.6640625" style="10" customWidth="1"/>
    <col min="3330" max="3330" width="9.33203125" style="10" customWidth="1"/>
    <col min="3331" max="3332" width="6.6640625" style="10" customWidth="1"/>
    <col min="3333" max="3333" width="12.6640625" style="10" customWidth="1"/>
    <col min="3334" max="3334" width="15.44140625" style="10" customWidth="1"/>
    <col min="3335" max="3335" width="13.6640625" style="10" customWidth="1"/>
    <col min="3336" max="3336" width="6.6640625" style="10" customWidth="1"/>
    <col min="3337" max="3337" width="9.33203125" style="10" customWidth="1"/>
    <col min="3338" max="3338" width="6.6640625" style="10" customWidth="1"/>
    <col min="3339" max="3339" width="3.33203125" style="10" customWidth="1"/>
    <col min="3340" max="3340" width="12.6640625" style="10" customWidth="1"/>
    <col min="3341" max="3341" width="14.88671875" style="10" customWidth="1"/>
    <col min="3342" max="3342" width="13.6640625" style="10" customWidth="1"/>
    <col min="3343" max="3584" width="9.109375" style="10"/>
    <col min="3585" max="3585" width="6.6640625" style="10" customWidth="1"/>
    <col min="3586" max="3586" width="9.33203125" style="10" customWidth="1"/>
    <col min="3587" max="3588" width="6.6640625" style="10" customWidth="1"/>
    <col min="3589" max="3589" width="12.6640625" style="10" customWidth="1"/>
    <col min="3590" max="3590" width="15.44140625" style="10" customWidth="1"/>
    <col min="3591" max="3591" width="13.6640625" style="10" customWidth="1"/>
    <col min="3592" max="3592" width="6.6640625" style="10" customWidth="1"/>
    <col min="3593" max="3593" width="9.33203125" style="10" customWidth="1"/>
    <col min="3594" max="3594" width="6.6640625" style="10" customWidth="1"/>
    <col min="3595" max="3595" width="3.33203125" style="10" customWidth="1"/>
    <col min="3596" max="3596" width="12.6640625" style="10" customWidth="1"/>
    <col min="3597" max="3597" width="14.88671875" style="10" customWidth="1"/>
    <col min="3598" max="3598" width="13.6640625" style="10" customWidth="1"/>
    <col min="3599" max="3840" width="9.109375" style="10"/>
    <col min="3841" max="3841" width="6.6640625" style="10" customWidth="1"/>
    <col min="3842" max="3842" width="9.33203125" style="10" customWidth="1"/>
    <col min="3843" max="3844" width="6.6640625" style="10" customWidth="1"/>
    <col min="3845" max="3845" width="12.6640625" style="10" customWidth="1"/>
    <col min="3846" max="3846" width="15.44140625" style="10" customWidth="1"/>
    <col min="3847" max="3847" width="13.6640625" style="10" customWidth="1"/>
    <col min="3848" max="3848" width="6.6640625" style="10" customWidth="1"/>
    <col min="3849" max="3849" width="9.33203125" style="10" customWidth="1"/>
    <col min="3850" max="3850" width="6.6640625" style="10" customWidth="1"/>
    <col min="3851" max="3851" width="3.33203125" style="10" customWidth="1"/>
    <col min="3852" max="3852" width="12.6640625" style="10" customWidth="1"/>
    <col min="3853" max="3853" width="14.88671875" style="10" customWidth="1"/>
    <col min="3854" max="3854" width="13.6640625" style="10" customWidth="1"/>
    <col min="3855" max="4096" width="9.109375" style="10"/>
    <col min="4097" max="4097" width="6.6640625" style="10" customWidth="1"/>
    <col min="4098" max="4098" width="9.33203125" style="10" customWidth="1"/>
    <col min="4099" max="4100" width="6.6640625" style="10" customWidth="1"/>
    <col min="4101" max="4101" width="12.6640625" style="10" customWidth="1"/>
    <col min="4102" max="4102" width="15.44140625" style="10" customWidth="1"/>
    <col min="4103" max="4103" width="13.6640625" style="10" customWidth="1"/>
    <col min="4104" max="4104" width="6.6640625" style="10" customWidth="1"/>
    <col min="4105" max="4105" width="9.33203125" style="10" customWidth="1"/>
    <col min="4106" max="4106" width="6.6640625" style="10" customWidth="1"/>
    <col min="4107" max="4107" width="3.33203125" style="10" customWidth="1"/>
    <col min="4108" max="4108" width="12.6640625" style="10" customWidth="1"/>
    <col min="4109" max="4109" width="14.88671875" style="10" customWidth="1"/>
    <col min="4110" max="4110" width="13.6640625" style="10" customWidth="1"/>
    <col min="4111" max="4352" width="9.109375" style="10"/>
    <col min="4353" max="4353" width="6.6640625" style="10" customWidth="1"/>
    <col min="4354" max="4354" width="9.33203125" style="10" customWidth="1"/>
    <col min="4355" max="4356" width="6.6640625" style="10" customWidth="1"/>
    <col min="4357" max="4357" width="12.6640625" style="10" customWidth="1"/>
    <col min="4358" max="4358" width="15.44140625" style="10" customWidth="1"/>
    <col min="4359" max="4359" width="13.6640625" style="10" customWidth="1"/>
    <col min="4360" max="4360" width="6.6640625" style="10" customWidth="1"/>
    <col min="4361" max="4361" width="9.33203125" style="10" customWidth="1"/>
    <col min="4362" max="4362" width="6.6640625" style="10" customWidth="1"/>
    <col min="4363" max="4363" width="3.33203125" style="10" customWidth="1"/>
    <col min="4364" max="4364" width="12.6640625" style="10" customWidth="1"/>
    <col min="4365" max="4365" width="14.88671875" style="10" customWidth="1"/>
    <col min="4366" max="4366" width="13.6640625" style="10" customWidth="1"/>
    <col min="4367" max="4608" width="9.109375" style="10"/>
    <col min="4609" max="4609" width="6.6640625" style="10" customWidth="1"/>
    <col min="4610" max="4610" width="9.33203125" style="10" customWidth="1"/>
    <col min="4611" max="4612" width="6.6640625" style="10" customWidth="1"/>
    <col min="4613" max="4613" width="12.6640625" style="10" customWidth="1"/>
    <col min="4614" max="4614" width="15.44140625" style="10" customWidth="1"/>
    <col min="4615" max="4615" width="13.6640625" style="10" customWidth="1"/>
    <col min="4616" max="4616" width="6.6640625" style="10" customWidth="1"/>
    <col min="4617" max="4617" width="9.33203125" style="10" customWidth="1"/>
    <col min="4618" max="4618" width="6.6640625" style="10" customWidth="1"/>
    <col min="4619" max="4619" width="3.33203125" style="10" customWidth="1"/>
    <col min="4620" max="4620" width="12.6640625" style="10" customWidth="1"/>
    <col min="4621" max="4621" width="14.88671875" style="10" customWidth="1"/>
    <col min="4622" max="4622" width="13.6640625" style="10" customWidth="1"/>
    <col min="4623" max="4864" width="9.109375" style="10"/>
    <col min="4865" max="4865" width="6.6640625" style="10" customWidth="1"/>
    <col min="4866" max="4866" width="9.33203125" style="10" customWidth="1"/>
    <col min="4867" max="4868" width="6.6640625" style="10" customWidth="1"/>
    <col min="4869" max="4869" width="12.6640625" style="10" customWidth="1"/>
    <col min="4870" max="4870" width="15.44140625" style="10" customWidth="1"/>
    <col min="4871" max="4871" width="13.6640625" style="10" customWidth="1"/>
    <col min="4872" max="4872" width="6.6640625" style="10" customWidth="1"/>
    <col min="4873" max="4873" width="9.33203125" style="10" customWidth="1"/>
    <col min="4874" max="4874" width="6.6640625" style="10" customWidth="1"/>
    <col min="4875" max="4875" width="3.33203125" style="10" customWidth="1"/>
    <col min="4876" max="4876" width="12.6640625" style="10" customWidth="1"/>
    <col min="4877" max="4877" width="14.88671875" style="10" customWidth="1"/>
    <col min="4878" max="4878" width="13.6640625" style="10" customWidth="1"/>
    <col min="4879" max="5120" width="9.109375" style="10"/>
    <col min="5121" max="5121" width="6.6640625" style="10" customWidth="1"/>
    <col min="5122" max="5122" width="9.33203125" style="10" customWidth="1"/>
    <col min="5123" max="5124" width="6.6640625" style="10" customWidth="1"/>
    <col min="5125" max="5125" width="12.6640625" style="10" customWidth="1"/>
    <col min="5126" max="5126" width="15.44140625" style="10" customWidth="1"/>
    <col min="5127" max="5127" width="13.6640625" style="10" customWidth="1"/>
    <col min="5128" max="5128" width="6.6640625" style="10" customWidth="1"/>
    <col min="5129" max="5129" width="9.33203125" style="10" customWidth="1"/>
    <col min="5130" max="5130" width="6.6640625" style="10" customWidth="1"/>
    <col min="5131" max="5131" width="3.33203125" style="10" customWidth="1"/>
    <col min="5132" max="5132" width="12.6640625" style="10" customWidth="1"/>
    <col min="5133" max="5133" width="14.88671875" style="10" customWidth="1"/>
    <col min="5134" max="5134" width="13.6640625" style="10" customWidth="1"/>
    <col min="5135" max="5376" width="9.109375" style="10"/>
    <col min="5377" max="5377" width="6.6640625" style="10" customWidth="1"/>
    <col min="5378" max="5378" width="9.33203125" style="10" customWidth="1"/>
    <col min="5379" max="5380" width="6.6640625" style="10" customWidth="1"/>
    <col min="5381" max="5381" width="12.6640625" style="10" customWidth="1"/>
    <col min="5382" max="5382" width="15.44140625" style="10" customWidth="1"/>
    <col min="5383" max="5383" width="13.6640625" style="10" customWidth="1"/>
    <col min="5384" max="5384" width="6.6640625" style="10" customWidth="1"/>
    <col min="5385" max="5385" width="9.33203125" style="10" customWidth="1"/>
    <col min="5386" max="5386" width="6.6640625" style="10" customWidth="1"/>
    <col min="5387" max="5387" width="3.33203125" style="10" customWidth="1"/>
    <col min="5388" max="5388" width="12.6640625" style="10" customWidth="1"/>
    <col min="5389" max="5389" width="14.88671875" style="10" customWidth="1"/>
    <col min="5390" max="5390" width="13.6640625" style="10" customWidth="1"/>
    <col min="5391" max="5632" width="9.109375" style="10"/>
    <col min="5633" max="5633" width="6.6640625" style="10" customWidth="1"/>
    <col min="5634" max="5634" width="9.33203125" style="10" customWidth="1"/>
    <col min="5635" max="5636" width="6.6640625" style="10" customWidth="1"/>
    <col min="5637" max="5637" width="12.6640625" style="10" customWidth="1"/>
    <col min="5638" max="5638" width="15.44140625" style="10" customWidth="1"/>
    <col min="5639" max="5639" width="13.6640625" style="10" customWidth="1"/>
    <col min="5640" max="5640" width="6.6640625" style="10" customWidth="1"/>
    <col min="5641" max="5641" width="9.33203125" style="10" customWidth="1"/>
    <col min="5642" max="5642" width="6.6640625" style="10" customWidth="1"/>
    <col min="5643" max="5643" width="3.33203125" style="10" customWidth="1"/>
    <col min="5644" max="5644" width="12.6640625" style="10" customWidth="1"/>
    <col min="5645" max="5645" width="14.88671875" style="10" customWidth="1"/>
    <col min="5646" max="5646" width="13.6640625" style="10" customWidth="1"/>
    <col min="5647" max="5888" width="9.109375" style="10"/>
    <col min="5889" max="5889" width="6.6640625" style="10" customWidth="1"/>
    <col min="5890" max="5890" width="9.33203125" style="10" customWidth="1"/>
    <col min="5891" max="5892" width="6.6640625" style="10" customWidth="1"/>
    <col min="5893" max="5893" width="12.6640625" style="10" customWidth="1"/>
    <col min="5894" max="5894" width="15.44140625" style="10" customWidth="1"/>
    <col min="5895" max="5895" width="13.6640625" style="10" customWidth="1"/>
    <col min="5896" max="5896" width="6.6640625" style="10" customWidth="1"/>
    <col min="5897" max="5897" width="9.33203125" style="10" customWidth="1"/>
    <col min="5898" max="5898" width="6.6640625" style="10" customWidth="1"/>
    <col min="5899" max="5899" width="3.33203125" style="10" customWidth="1"/>
    <col min="5900" max="5900" width="12.6640625" style="10" customWidth="1"/>
    <col min="5901" max="5901" width="14.88671875" style="10" customWidth="1"/>
    <col min="5902" max="5902" width="13.6640625" style="10" customWidth="1"/>
    <col min="5903" max="6144" width="9.109375" style="10"/>
    <col min="6145" max="6145" width="6.6640625" style="10" customWidth="1"/>
    <col min="6146" max="6146" width="9.33203125" style="10" customWidth="1"/>
    <col min="6147" max="6148" width="6.6640625" style="10" customWidth="1"/>
    <col min="6149" max="6149" width="12.6640625" style="10" customWidth="1"/>
    <col min="6150" max="6150" width="15.44140625" style="10" customWidth="1"/>
    <col min="6151" max="6151" width="13.6640625" style="10" customWidth="1"/>
    <col min="6152" max="6152" width="6.6640625" style="10" customWidth="1"/>
    <col min="6153" max="6153" width="9.33203125" style="10" customWidth="1"/>
    <col min="6154" max="6154" width="6.6640625" style="10" customWidth="1"/>
    <col min="6155" max="6155" width="3.33203125" style="10" customWidth="1"/>
    <col min="6156" max="6156" width="12.6640625" style="10" customWidth="1"/>
    <col min="6157" max="6157" width="14.88671875" style="10" customWidth="1"/>
    <col min="6158" max="6158" width="13.6640625" style="10" customWidth="1"/>
    <col min="6159" max="6400" width="9.109375" style="10"/>
    <col min="6401" max="6401" width="6.6640625" style="10" customWidth="1"/>
    <col min="6402" max="6402" width="9.33203125" style="10" customWidth="1"/>
    <col min="6403" max="6404" width="6.6640625" style="10" customWidth="1"/>
    <col min="6405" max="6405" width="12.6640625" style="10" customWidth="1"/>
    <col min="6406" max="6406" width="15.44140625" style="10" customWidth="1"/>
    <col min="6407" max="6407" width="13.6640625" style="10" customWidth="1"/>
    <col min="6408" max="6408" width="6.6640625" style="10" customWidth="1"/>
    <col min="6409" max="6409" width="9.33203125" style="10" customWidth="1"/>
    <col min="6410" max="6410" width="6.6640625" style="10" customWidth="1"/>
    <col min="6411" max="6411" width="3.33203125" style="10" customWidth="1"/>
    <col min="6412" max="6412" width="12.6640625" style="10" customWidth="1"/>
    <col min="6413" max="6413" width="14.88671875" style="10" customWidth="1"/>
    <col min="6414" max="6414" width="13.6640625" style="10" customWidth="1"/>
    <col min="6415" max="6656" width="9.109375" style="10"/>
    <col min="6657" max="6657" width="6.6640625" style="10" customWidth="1"/>
    <col min="6658" max="6658" width="9.33203125" style="10" customWidth="1"/>
    <col min="6659" max="6660" width="6.6640625" style="10" customWidth="1"/>
    <col min="6661" max="6661" width="12.6640625" style="10" customWidth="1"/>
    <col min="6662" max="6662" width="15.44140625" style="10" customWidth="1"/>
    <col min="6663" max="6663" width="13.6640625" style="10" customWidth="1"/>
    <col min="6664" max="6664" width="6.6640625" style="10" customWidth="1"/>
    <col min="6665" max="6665" width="9.33203125" style="10" customWidth="1"/>
    <col min="6666" max="6666" width="6.6640625" style="10" customWidth="1"/>
    <col min="6667" max="6667" width="3.33203125" style="10" customWidth="1"/>
    <col min="6668" max="6668" width="12.6640625" style="10" customWidth="1"/>
    <col min="6669" max="6669" width="14.88671875" style="10" customWidth="1"/>
    <col min="6670" max="6670" width="13.6640625" style="10" customWidth="1"/>
    <col min="6671" max="6912" width="9.109375" style="10"/>
    <col min="6913" max="6913" width="6.6640625" style="10" customWidth="1"/>
    <col min="6914" max="6914" width="9.33203125" style="10" customWidth="1"/>
    <col min="6915" max="6916" width="6.6640625" style="10" customWidth="1"/>
    <col min="6917" max="6917" width="12.6640625" style="10" customWidth="1"/>
    <col min="6918" max="6918" width="15.44140625" style="10" customWidth="1"/>
    <col min="6919" max="6919" width="13.6640625" style="10" customWidth="1"/>
    <col min="6920" max="6920" width="6.6640625" style="10" customWidth="1"/>
    <col min="6921" max="6921" width="9.33203125" style="10" customWidth="1"/>
    <col min="6922" max="6922" width="6.6640625" style="10" customWidth="1"/>
    <col min="6923" max="6923" width="3.33203125" style="10" customWidth="1"/>
    <col min="6924" max="6924" width="12.6640625" style="10" customWidth="1"/>
    <col min="6925" max="6925" width="14.88671875" style="10" customWidth="1"/>
    <col min="6926" max="6926" width="13.6640625" style="10" customWidth="1"/>
    <col min="6927" max="7168" width="9.109375" style="10"/>
    <col min="7169" max="7169" width="6.6640625" style="10" customWidth="1"/>
    <col min="7170" max="7170" width="9.33203125" style="10" customWidth="1"/>
    <col min="7171" max="7172" width="6.6640625" style="10" customWidth="1"/>
    <col min="7173" max="7173" width="12.6640625" style="10" customWidth="1"/>
    <col min="7174" max="7174" width="15.44140625" style="10" customWidth="1"/>
    <col min="7175" max="7175" width="13.6640625" style="10" customWidth="1"/>
    <col min="7176" max="7176" width="6.6640625" style="10" customWidth="1"/>
    <col min="7177" max="7177" width="9.33203125" style="10" customWidth="1"/>
    <col min="7178" max="7178" width="6.6640625" style="10" customWidth="1"/>
    <col min="7179" max="7179" width="3.33203125" style="10" customWidth="1"/>
    <col min="7180" max="7180" width="12.6640625" style="10" customWidth="1"/>
    <col min="7181" max="7181" width="14.88671875" style="10" customWidth="1"/>
    <col min="7182" max="7182" width="13.6640625" style="10" customWidth="1"/>
    <col min="7183" max="7424" width="9.109375" style="10"/>
    <col min="7425" max="7425" width="6.6640625" style="10" customWidth="1"/>
    <col min="7426" max="7426" width="9.33203125" style="10" customWidth="1"/>
    <col min="7427" max="7428" width="6.6640625" style="10" customWidth="1"/>
    <col min="7429" max="7429" width="12.6640625" style="10" customWidth="1"/>
    <col min="7430" max="7430" width="15.44140625" style="10" customWidth="1"/>
    <col min="7431" max="7431" width="13.6640625" style="10" customWidth="1"/>
    <col min="7432" max="7432" width="6.6640625" style="10" customWidth="1"/>
    <col min="7433" max="7433" width="9.33203125" style="10" customWidth="1"/>
    <col min="7434" max="7434" width="6.6640625" style="10" customWidth="1"/>
    <col min="7435" max="7435" width="3.33203125" style="10" customWidth="1"/>
    <col min="7436" max="7436" width="12.6640625" style="10" customWidth="1"/>
    <col min="7437" max="7437" width="14.88671875" style="10" customWidth="1"/>
    <col min="7438" max="7438" width="13.6640625" style="10" customWidth="1"/>
    <col min="7439" max="7680" width="9.109375" style="10"/>
    <col min="7681" max="7681" width="6.6640625" style="10" customWidth="1"/>
    <col min="7682" max="7682" width="9.33203125" style="10" customWidth="1"/>
    <col min="7683" max="7684" width="6.6640625" style="10" customWidth="1"/>
    <col min="7685" max="7685" width="12.6640625" style="10" customWidth="1"/>
    <col min="7686" max="7686" width="15.44140625" style="10" customWidth="1"/>
    <col min="7687" max="7687" width="13.6640625" style="10" customWidth="1"/>
    <col min="7688" max="7688" width="6.6640625" style="10" customWidth="1"/>
    <col min="7689" max="7689" width="9.33203125" style="10" customWidth="1"/>
    <col min="7690" max="7690" width="6.6640625" style="10" customWidth="1"/>
    <col min="7691" max="7691" width="3.33203125" style="10" customWidth="1"/>
    <col min="7692" max="7692" width="12.6640625" style="10" customWidth="1"/>
    <col min="7693" max="7693" width="14.88671875" style="10" customWidth="1"/>
    <col min="7694" max="7694" width="13.6640625" style="10" customWidth="1"/>
    <col min="7695" max="7936" width="9.109375" style="10"/>
    <col min="7937" max="7937" width="6.6640625" style="10" customWidth="1"/>
    <col min="7938" max="7938" width="9.33203125" style="10" customWidth="1"/>
    <col min="7939" max="7940" width="6.6640625" style="10" customWidth="1"/>
    <col min="7941" max="7941" width="12.6640625" style="10" customWidth="1"/>
    <col min="7942" max="7942" width="15.44140625" style="10" customWidth="1"/>
    <col min="7943" max="7943" width="13.6640625" style="10" customWidth="1"/>
    <col min="7944" max="7944" width="6.6640625" style="10" customWidth="1"/>
    <col min="7945" max="7945" width="9.33203125" style="10" customWidth="1"/>
    <col min="7946" max="7946" width="6.6640625" style="10" customWidth="1"/>
    <col min="7947" max="7947" width="3.33203125" style="10" customWidth="1"/>
    <col min="7948" max="7948" width="12.6640625" style="10" customWidth="1"/>
    <col min="7949" max="7949" width="14.88671875" style="10" customWidth="1"/>
    <col min="7950" max="7950" width="13.6640625" style="10" customWidth="1"/>
    <col min="7951" max="8192" width="9.109375" style="10"/>
    <col min="8193" max="8193" width="6.6640625" style="10" customWidth="1"/>
    <col min="8194" max="8194" width="9.33203125" style="10" customWidth="1"/>
    <col min="8195" max="8196" width="6.6640625" style="10" customWidth="1"/>
    <col min="8197" max="8197" width="12.6640625" style="10" customWidth="1"/>
    <col min="8198" max="8198" width="15.44140625" style="10" customWidth="1"/>
    <col min="8199" max="8199" width="13.6640625" style="10" customWidth="1"/>
    <col min="8200" max="8200" width="6.6640625" style="10" customWidth="1"/>
    <col min="8201" max="8201" width="9.33203125" style="10" customWidth="1"/>
    <col min="8202" max="8202" width="6.6640625" style="10" customWidth="1"/>
    <col min="8203" max="8203" width="3.33203125" style="10" customWidth="1"/>
    <col min="8204" max="8204" width="12.6640625" style="10" customWidth="1"/>
    <col min="8205" max="8205" width="14.88671875" style="10" customWidth="1"/>
    <col min="8206" max="8206" width="13.6640625" style="10" customWidth="1"/>
    <col min="8207" max="8448" width="9.109375" style="10"/>
    <col min="8449" max="8449" width="6.6640625" style="10" customWidth="1"/>
    <col min="8450" max="8450" width="9.33203125" style="10" customWidth="1"/>
    <col min="8451" max="8452" width="6.6640625" style="10" customWidth="1"/>
    <col min="8453" max="8453" width="12.6640625" style="10" customWidth="1"/>
    <col min="8454" max="8454" width="15.44140625" style="10" customWidth="1"/>
    <col min="8455" max="8455" width="13.6640625" style="10" customWidth="1"/>
    <col min="8456" max="8456" width="6.6640625" style="10" customWidth="1"/>
    <col min="8457" max="8457" width="9.33203125" style="10" customWidth="1"/>
    <col min="8458" max="8458" width="6.6640625" style="10" customWidth="1"/>
    <col min="8459" max="8459" width="3.33203125" style="10" customWidth="1"/>
    <col min="8460" max="8460" width="12.6640625" style="10" customWidth="1"/>
    <col min="8461" max="8461" width="14.88671875" style="10" customWidth="1"/>
    <col min="8462" max="8462" width="13.6640625" style="10" customWidth="1"/>
    <col min="8463" max="8704" width="9.109375" style="10"/>
    <col min="8705" max="8705" width="6.6640625" style="10" customWidth="1"/>
    <col min="8706" max="8706" width="9.33203125" style="10" customWidth="1"/>
    <col min="8707" max="8708" width="6.6640625" style="10" customWidth="1"/>
    <col min="8709" max="8709" width="12.6640625" style="10" customWidth="1"/>
    <col min="8710" max="8710" width="15.44140625" style="10" customWidth="1"/>
    <col min="8711" max="8711" width="13.6640625" style="10" customWidth="1"/>
    <col min="8712" max="8712" width="6.6640625" style="10" customWidth="1"/>
    <col min="8713" max="8713" width="9.33203125" style="10" customWidth="1"/>
    <col min="8714" max="8714" width="6.6640625" style="10" customWidth="1"/>
    <col min="8715" max="8715" width="3.33203125" style="10" customWidth="1"/>
    <col min="8716" max="8716" width="12.6640625" style="10" customWidth="1"/>
    <col min="8717" max="8717" width="14.88671875" style="10" customWidth="1"/>
    <col min="8718" max="8718" width="13.6640625" style="10" customWidth="1"/>
    <col min="8719" max="8960" width="9.109375" style="10"/>
    <col min="8961" max="8961" width="6.6640625" style="10" customWidth="1"/>
    <col min="8962" max="8962" width="9.33203125" style="10" customWidth="1"/>
    <col min="8963" max="8964" width="6.6640625" style="10" customWidth="1"/>
    <col min="8965" max="8965" width="12.6640625" style="10" customWidth="1"/>
    <col min="8966" max="8966" width="15.44140625" style="10" customWidth="1"/>
    <col min="8967" max="8967" width="13.6640625" style="10" customWidth="1"/>
    <col min="8968" max="8968" width="6.6640625" style="10" customWidth="1"/>
    <col min="8969" max="8969" width="9.33203125" style="10" customWidth="1"/>
    <col min="8970" max="8970" width="6.6640625" style="10" customWidth="1"/>
    <col min="8971" max="8971" width="3.33203125" style="10" customWidth="1"/>
    <col min="8972" max="8972" width="12.6640625" style="10" customWidth="1"/>
    <col min="8973" max="8973" width="14.88671875" style="10" customWidth="1"/>
    <col min="8974" max="8974" width="13.6640625" style="10" customWidth="1"/>
    <col min="8975" max="9216" width="9.109375" style="10"/>
    <col min="9217" max="9217" width="6.6640625" style="10" customWidth="1"/>
    <col min="9218" max="9218" width="9.33203125" style="10" customWidth="1"/>
    <col min="9219" max="9220" width="6.6640625" style="10" customWidth="1"/>
    <col min="9221" max="9221" width="12.6640625" style="10" customWidth="1"/>
    <col min="9222" max="9222" width="15.44140625" style="10" customWidth="1"/>
    <col min="9223" max="9223" width="13.6640625" style="10" customWidth="1"/>
    <col min="9224" max="9224" width="6.6640625" style="10" customWidth="1"/>
    <col min="9225" max="9225" width="9.33203125" style="10" customWidth="1"/>
    <col min="9226" max="9226" width="6.6640625" style="10" customWidth="1"/>
    <col min="9227" max="9227" width="3.33203125" style="10" customWidth="1"/>
    <col min="9228" max="9228" width="12.6640625" style="10" customWidth="1"/>
    <col min="9229" max="9229" width="14.88671875" style="10" customWidth="1"/>
    <col min="9230" max="9230" width="13.6640625" style="10" customWidth="1"/>
    <col min="9231" max="9472" width="9.109375" style="10"/>
    <col min="9473" max="9473" width="6.6640625" style="10" customWidth="1"/>
    <col min="9474" max="9474" width="9.33203125" style="10" customWidth="1"/>
    <col min="9475" max="9476" width="6.6640625" style="10" customWidth="1"/>
    <col min="9477" max="9477" width="12.6640625" style="10" customWidth="1"/>
    <col min="9478" max="9478" width="15.44140625" style="10" customWidth="1"/>
    <col min="9479" max="9479" width="13.6640625" style="10" customWidth="1"/>
    <col min="9480" max="9480" width="6.6640625" style="10" customWidth="1"/>
    <col min="9481" max="9481" width="9.33203125" style="10" customWidth="1"/>
    <col min="9482" max="9482" width="6.6640625" style="10" customWidth="1"/>
    <col min="9483" max="9483" width="3.33203125" style="10" customWidth="1"/>
    <col min="9484" max="9484" width="12.6640625" style="10" customWidth="1"/>
    <col min="9485" max="9485" width="14.88671875" style="10" customWidth="1"/>
    <col min="9486" max="9486" width="13.6640625" style="10" customWidth="1"/>
    <col min="9487" max="9728" width="9.109375" style="10"/>
    <col min="9729" max="9729" width="6.6640625" style="10" customWidth="1"/>
    <col min="9730" max="9730" width="9.33203125" style="10" customWidth="1"/>
    <col min="9731" max="9732" width="6.6640625" style="10" customWidth="1"/>
    <col min="9733" max="9733" width="12.6640625" style="10" customWidth="1"/>
    <col min="9734" max="9734" width="15.44140625" style="10" customWidth="1"/>
    <col min="9735" max="9735" width="13.6640625" style="10" customWidth="1"/>
    <col min="9736" max="9736" width="6.6640625" style="10" customWidth="1"/>
    <col min="9737" max="9737" width="9.33203125" style="10" customWidth="1"/>
    <col min="9738" max="9738" width="6.6640625" style="10" customWidth="1"/>
    <col min="9739" max="9739" width="3.33203125" style="10" customWidth="1"/>
    <col min="9740" max="9740" width="12.6640625" style="10" customWidth="1"/>
    <col min="9741" max="9741" width="14.88671875" style="10" customWidth="1"/>
    <col min="9742" max="9742" width="13.6640625" style="10" customWidth="1"/>
    <col min="9743" max="9984" width="9.109375" style="10"/>
    <col min="9985" max="9985" width="6.6640625" style="10" customWidth="1"/>
    <col min="9986" max="9986" width="9.33203125" style="10" customWidth="1"/>
    <col min="9987" max="9988" width="6.6640625" style="10" customWidth="1"/>
    <col min="9989" max="9989" width="12.6640625" style="10" customWidth="1"/>
    <col min="9990" max="9990" width="15.44140625" style="10" customWidth="1"/>
    <col min="9991" max="9991" width="13.6640625" style="10" customWidth="1"/>
    <col min="9992" max="9992" width="6.6640625" style="10" customWidth="1"/>
    <col min="9993" max="9993" width="9.33203125" style="10" customWidth="1"/>
    <col min="9994" max="9994" width="6.6640625" style="10" customWidth="1"/>
    <col min="9995" max="9995" width="3.33203125" style="10" customWidth="1"/>
    <col min="9996" max="9996" width="12.6640625" style="10" customWidth="1"/>
    <col min="9997" max="9997" width="14.88671875" style="10" customWidth="1"/>
    <col min="9998" max="9998" width="13.6640625" style="10" customWidth="1"/>
    <col min="9999" max="10240" width="9.109375" style="10"/>
    <col min="10241" max="10241" width="6.6640625" style="10" customWidth="1"/>
    <col min="10242" max="10242" width="9.33203125" style="10" customWidth="1"/>
    <col min="10243" max="10244" width="6.6640625" style="10" customWidth="1"/>
    <col min="10245" max="10245" width="12.6640625" style="10" customWidth="1"/>
    <col min="10246" max="10246" width="15.44140625" style="10" customWidth="1"/>
    <col min="10247" max="10247" width="13.6640625" style="10" customWidth="1"/>
    <col min="10248" max="10248" width="6.6640625" style="10" customWidth="1"/>
    <col min="10249" max="10249" width="9.33203125" style="10" customWidth="1"/>
    <col min="10250" max="10250" width="6.6640625" style="10" customWidth="1"/>
    <col min="10251" max="10251" width="3.33203125" style="10" customWidth="1"/>
    <col min="10252" max="10252" width="12.6640625" style="10" customWidth="1"/>
    <col min="10253" max="10253" width="14.88671875" style="10" customWidth="1"/>
    <col min="10254" max="10254" width="13.6640625" style="10" customWidth="1"/>
    <col min="10255" max="10496" width="9.109375" style="10"/>
    <col min="10497" max="10497" width="6.6640625" style="10" customWidth="1"/>
    <col min="10498" max="10498" width="9.33203125" style="10" customWidth="1"/>
    <col min="10499" max="10500" width="6.6640625" style="10" customWidth="1"/>
    <col min="10501" max="10501" width="12.6640625" style="10" customWidth="1"/>
    <col min="10502" max="10502" width="15.44140625" style="10" customWidth="1"/>
    <col min="10503" max="10503" width="13.6640625" style="10" customWidth="1"/>
    <col min="10504" max="10504" width="6.6640625" style="10" customWidth="1"/>
    <col min="10505" max="10505" width="9.33203125" style="10" customWidth="1"/>
    <col min="10506" max="10506" width="6.6640625" style="10" customWidth="1"/>
    <col min="10507" max="10507" width="3.33203125" style="10" customWidth="1"/>
    <col min="10508" max="10508" width="12.6640625" style="10" customWidth="1"/>
    <col min="10509" max="10509" width="14.88671875" style="10" customWidth="1"/>
    <col min="10510" max="10510" width="13.6640625" style="10" customWidth="1"/>
    <col min="10511" max="10752" width="9.109375" style="10"/>
    <col min="10753" max="10753" width="6.6640625" style="10" customWidth="1"/>
    <col min="10754" max="10754" width="9.33203125" style="10" customWidth="1"/>
    <col min="10755" max="10756" width="6.6640625" style="10" customWidth="1"/>
    <col min="10757" max="10757" width="12.6640625" style="10" customWidth="1"/>
    <col min="10758" max="10758" width="15.44140625" style="10" customWidth="1"/>
    <col min="10759" max="10759" width="13.6640625" style="10" customWidth="1"/>
    <col min="10760" max="10760" width="6.6640625" style="10" customWidth="1"/>
    <col min="10761" max="10761" width="9.33203125" style="10" customWidth="1"/>
    <col min="10762" max="10762" width="6.6640625" style="10" customWidth="1"/>
    <col min="10763" max="10763" width="3.33203125" style="10" customWidth="1"/>
    <col min="10764" max="10764" width="12.6640625" style="10" customWidth="1"/>
    <col min="10765" max="10765" width="14.88671875" style="10" customWidth="1"/>
    <col min="10766" max="10766" width="13.6640625" style="10" customWidth="1"/>
    <col min="10767" max="11008" width="9.109375" style="10"/>
    <col min="11009" max="11009" width="6.6640625" style="10" customWidth="1"/>
    <col min="11010" max="11010" width="9.33203125" style="10" customWidth="1"/>
    <col min="11011" max="11012" width="6.6640625" style="10" customWidth="1"/>
    <col min="11013" max="11013" width="12.6640625" style="10" customWidth="1"/>
    <col min="11014" max="11014" width="15.44140625" style="10" customWidth="1"/>
    <col min="11015" max="11015" width="13.6640625" style="10" customWidth="1"/>
    <col min="11016" max="11016" width="6.6640625" style="10" customWidth="1"/>
    <col min="11017" max="11017" width="9.33203125" style="10" customWidth="1"/>
    <col min="11018" max="11018" width="6.6640625" style="10" customWidth="1"/>
    <col min="11019" max="11019" width="3.33203125" style="10" customWidth="1"/>
    <col min="11020" max="11020" width="12.6640625" style="10" customWidth="1"/>
    <col min="11021" max="11021" width="14.88671875" style="10" customWidth="1"/>
    <col min="11022" max="11022" width="13.6640625" style="10" customWidth="1"/>
    <col min="11023" max="11264" width="9.109375" style="10"/>
    <col min="11265" max="11265" width="6.6640625" style="10" customWidth="1"/>
    <col min="11266" max="11266" width="9.33203125" style="10" customWidth="1"/>
    <col min="11267" max="11268" width="6.6640625" style="10" customWidth="1"/>
    <col min="11269" max="11269" width="12.6640625" style="10" customWidth="1"/>
    <col min="11270" max="11270" width="15.44140625" style="10" customWidth="1"/>
    <col min="11271" max="11271" width="13.6640625" style="10" customWidth="1"/>
    <col min="11272" max="11272" width="6.6640625" style="10" customWidth="1"/>
    <col min="11273" max="11273" width="9.33203125" style="10" customWidth="1"/>
    <col min="11274" max="11274" width="6.6640625" style="10" customWidth="1"/>
    <col min="11275" max="11275" width="3.33203125" style="10" customWidth="1"/>
    <col min="11276" max="11276" width="12.6640625" style="10" customWidth="1"/>
    <col min="11277" max="11277" width="14.88671875" style="10" customWidth="1"/>
    <col min="11278" max="11278" width="13.6640625" style="10" customWidth="1"/>
    <col min="11279" max="11520" width="9.109375" style="10"/>
    <col min="11521" max="11521" width="6.6640625" style="10" customWidth="1"/>
    <col min="11522" max="11522" width="9.33203125" style="10" customWidth="1"/>
    <col min="11523" max="11524" width="6.6640625" style="10" customWidth="1"/>
    <col min="11525" max="11525" width="12.6640625" style="10" customWidth="1"/>
    <col min="11526" max="11526" width="15.44140625" style="10" customWidth="1"/>
    <col min="11527" max="11527" width="13.6640625" style="10" customWidth="1"/>
    <col min="11528" max="11528" width="6.6640625" style="10" customWidth="1"/>
    <col min="11529" max="11529" width="9.33203125" style="10" customWidth="1"/>
    <col min="11530" max="11530" width="6.6640625" style="10" customWidth="1"/>
    <col min="11531" max="11531" width="3.33203125" style="10" customWidth="1"/>
    <col min="11532" max="11532" width="12.6640625" style="10" customWidth="1"/>
    <col min="11533" max="11533" width="14.88671875" style="10" customWidth="1"/>
    <col min="11534" max="11534" width="13.6640625" style="10" customWidth="1"/>
    <col min="11535" max="11776" width="9.109375" style="10"/>
    <col min="11777" max="11777" width="6.6640625" style="10" customWidth="1"/>
    <col min="11778" max="11778" width="9.33203125" style="10" customWidth="1"/>
    <col min="11779" max="11780" width="6.6640625" style="10" customWidth="1"/>
    <col min="11781" max="11781" width="12.6640625" style="10" customWidth="1"/>
    <col min="11782" max="11782" width="15.44140625" style="10" customWidth="1"/>
    <col min="11783" max="11783" width="13.6640625" style="10" customWidth="1"/>
    <col min="11784" max="11784" width="6.6640625" style="10" customWidth="1"/>
    <col min="11785" max="11785" width="9.33203125" style="10" customWidth="1"/>
    <col min="11786" max="11786" width="6.6640625" style="10" customWidth="1"/>
    <col min="11787" max="11787" width="3.33203125" style="10" customWidth="1"/>
    <col min="11788" max="11788" width="12.6640625" style="10" customWidth="1"/>
    <col min="11789" max="11789" width="14.88671875" style="10" customWidth="1"/>
    <col min="11790" max="11790" width="13.6640625" style="10" customWidth="1"/>
    <col min="11791" max="12032" width="9.109375" style="10"/>
    <col min="12033" max="12033" width="6.6640625" style="10" customWidth="1"/>
    <col min="12034" max="12034" width="9.33203125" style="10" customWidth="1"/>
    <col min="12035" max="12036" width="6.6640625" style="10" customWidth="1"/>
    <col min="12037" max="12037" width="12.6640625" style="10" customWidth="1"/>
    <col min="12038" max="12038" width="15.44140625" style="10" customWidth="1"/>
    <col min="12039" max="12039" width="13.6640625" style="10" customWidth="1"/>
    <col min="12040" max="12040" width="6.6640625" style="10" customWidth="1"/>
    <col min="12041" max="12041" width="9.33203125" style="10" customWidth="1"/>
    <col min="12042" max="12042" width="6.6640625" style="10" customWidth="1"/>
    <col min="12043" max="12043" width="3.33203125" style="10" customWidth="1"/>
    <col min="12044" max="12044" width="12.6640625" style="10" customWidth="1"/>
    <col min="12045" max="12045" width="14.88671875" style="10" customWidth="1"/>
    <col min="12046" max="12046" width="13.6640625" style="10" customWidth="1"/>
    <col min="12047" max="12288" width="9.109375" style="10"/>
    <col min="12289" max="12289" width="6.6640625" style="10" customWidth="1"/>
    <col min="12290" max="12290" width="9.33203125" style="10" customWidth="1"/>
    <col min="12291" max="12292" width="6.6640625" style="10" customWidth="1"/>
    <col min="12293" max="12293" width="12.6640625" style="10" customWidth="1"/>
    <col min="12294" max="12294" width="15.44140625" style="10" customWidth="1"/>
    <col min="12295" max="12295" width="13.6640625" style="10" customWidth="1"/>
    <col min="12296" max="12296" width="6.6640625" style="10" customWidth="1"/>
    <col min="12297" max="12297" width="9.33203125" style="10" customWidth="1"/>
    <col min="12298" max="12298" width="6.6640625" style="10" customWidth="1"/>
    <col min="12299" max="12299" width="3.33203125" style="10" customWidth="1"/>
    <col min="12300" max="12300" width="12.6640625" style="10" customWidth="1"/>
    <col min="12301" max="12301" width="14.88671875" style="10" customWidth="1"/>
    <col min="12302" max="12302" width="13.6640625" style="10" customWidth="1"/>
    <col min="12303" max="12544" width="9.109375" style="10"/>
    <col min="12545" max="12545" width="6.6640625" style="10" customWidth="1"/>
    <col min="12546" max="12546" width="9.33203125" style="10" customWidth="1"/>
    <col min="12547" max="12548" width="6.6640625" style="10" customWidth="1"/>
    <col min="12549" max="12549" width="12.6640625" style="10" customWidth="1"/>
    <col min="12550" max="12550" width="15.44140625" style="10" customWidth="1"/>
    <col min="12551" max="12551" width="13.6640625" style="10" customWidth="1"/>
    <col min="12552" max="12552" width="6.6640625" style="10" customWidth="1"/>
    <col min="12553" max="12553" width="9.33203125" style="10" customWidth="1"/>
    <col min="12554" max="12554" width="6.6640625" style="10" customWidth="1"/>
    <col min="12555" max="12555" width="3.33203125" style="10" customWidth="1"/>
    <col min="12556" max="12556" width="12.6640625" style="10" customWidth="1"/>
    <col min="12557" max="12557" width="14.88671875" style="10" customWidth="1"/>
    <col min="12558" max="12558" width="13.6640625" style="10" customWidth="1"/>
    <col min="12559" max="12800" width="9.109375" style="10"/>
    <col min="12801" max="12801" width="6.6640625" style="10" customWidth="1"/>
    <col min="12802" max="12802" width="9.33203125" style="10" customWidth="1"/>
    <col min="12803" max="12804" width="6.6640625" style="10" customWidth="1"/>
    <col min="12805" max="12805" width="12.6640625" style="10" customWidth="1"/>
    <col min="12806" max="12806" width="15.44140625" style="10" customWidth="1"/>
    <col min="12807" max="12807" width="13.6640625" style="10" customWidth="1"/>
    <col min="12808" max="12808" width="6.6640625" style="10" customWidth="1"/>
    <col min="12809" max="12809" width="9.33203125" style="10" customWidth="1"/>
    <col min="12810" max="12810" width="6.6640625" style="10" customWidth="1"/>
    <col min="12811" max="12811" width="3.33203125" style="10" customWidth="1"/>
    <col min="12812" max="12812" width="12.6640625" style="10" customWidth="1"/>
    <col min="12813" max="12813" width="14.88671875" style="10" customWidth="1"/>
    <col min="12814" max="12814" width="13.6640625" style="10" customWidth="1"/>
    <col min="12815" max="13056" width="9.109375" style="10"/>
    <col min="13057" max="13057" width="6.6640625" style="10" customWidth="1"/>
    <col min="13058" max="13058" width="9.33203125" style="10" customWidth="1"/>
    <col min="13059" max="13060" width="6.6640625" style="10" customWidth="1"/>
    <col min="13061" max="13061" width="12.6640625" style="10" customWidth="1"/>
    <col min="13062" max="13062" width="15.44140625" style="10" customWidth="1"/>
    <col min="13063" max="13063" width="13.6640625" style="10" customWidth="1"/>
    <col min="13064" max="13064" width="6.6640625" style="10" customWidth="1"/>
    <col min="13065" max="13065" width="9.33203125" style="10" customWidth="1"/>
    <col min="13066" max="13066" width="6.6640625" style="10" customWidth="1"/>
    <col min="13067" max="13067" width="3.33203125" style="10" customWidth="1"/>
    <col min="13068" max="13068" width="12.6640625" style="10" customWidth="1"/>
    <col min="13069" max="13069" width="14.88671875" style="10" customWidth="1"/>
    <col min="13070" max="13070" width="13.6640625" style="10" customWidth="1"/>
    <col min="13071" max="13312" width="9.109375" style="10"/>
    <col min="13313" max="13313" width="6.6640625" style="10" customWidth="1"/>
    <col min="13314" max="13314" width="9.33203125" style="10" customWidth="1"/>
    <col min="13315" max="13316" width="6.6640625" style="10" customWidth="1"/>
    <col min="13317" max="13317" width="12.6640625" style="10" customWidth="1"/>
    <col min="13318" max="13318" width="15.44140625" style="10" customWidth="1"/>
    <col min="13319" max="13319" width="13.6640625" style="10" customWidth="1"/>
    <col min="13320" max="13320" width="6.6640625" style="10" customWidth="1"/>
    <col min="13321" max="13321" width="9.33203125" style="10" customWidth="1"/>
    <col min="13322" max="13322" width="6.6640625" style="10" customWidth="1"/>
    <col min="13323" max="13323" width="3.33203125" style="10" customWidth="1"/>
    <col min="13324" max="13324" width="12.6640625" style="10" customWidth="1"/>
    <col min="13325" max="13325" width="14.88671875" style="10" customWidth="1"/>
    <col min="13326" max="13326" width="13.6640625" style="10" customWidth="1"/>
    <col min="13327" max="13568" width="9.109375" style="10"/>
    <col min="13569" max="13569" width="6.6640625" style="10" customWidth="1"/>
    <col min="13570" max="13570" width="9.33203125" style="10" customWidth="1"/>
    <col min="13571" max="13572" width="6.6640625" style="10" customWidth="1"/>
    <col min="13573" max="13573" width="12.6640625" style="10" customWidth="1"/>
    <col min="13574" max="13574" width="15.44140625" style="10" customWidth="1"/>
    <col min="13575" max="13575" width="13.6640625" style="10" customWidth="1"/>
    <col min="13576" max="13576" width="6.6640625" style="10" customWidth="1"/>
    <col min="13577" max="13577" width="9.33203125" style="10" customWidth="1"/>
    <col min="13578" max="13578" width="6.6640625" style="10" customWidth="1"/>
    <col min="13579" max="13579" width="3.33203125" style="10" customWidth="1"/>
    <col min="13580" max="13580" width="12.6640625" style="10" customWidth="1"/>
    <col min="13581" max="13581" width="14.88671875" style="10" customWidth="1"/>
    <col min="13582" max="13582" width="13.6640625" style="10" customWidth="1"/>
    <col min="13583" max="13824" width="9.109375" style="10"/>
    <col min="13825" max="13825" width="6.6640625" style="10" customWidth="1"/>
    <col min="13826" max="13826" width="9.33203125" style="10" customWidth="1"/>
    <col min="13827" max="13828" width="6.6640625" style="10" customWidth="1"/>
    <col min="13829" max="13829" width="12.6640625" style="10" customWidth="1"/>
    <col min="13830" max="13830" width="15.44140625" style="10" customWidth="1"/>
    <col min="13831" max="13831" width="13.6640625" style="10" customWidth="1"/>
    <col min="13832" max="13832" width="6.6640625" style="10" customWidth="1"/>
    <col min="13833" max="13833" width="9.33203125" style="10" customWidth="1"/>
    <col min="13834" max="13834" width="6.6640625" style="10" customWidth="1"/>
    <col min="13835" max="13835" width="3.33203125" style="10" customWidth="1"/>
    <col min="13836" max="13836" width="12.6640625" style="10" customWidth="1"/>
    <col min="13837" max="13837" width="14.88671875" style="10" customWidth="1"/>
    <col min="13838" max="13838" width="13.6640625" style="10" customWidth="1"/>
    <col min="13839" max="14080" width="9.109375" style="10"/>
    <col min="14081" max="14081" width="6.6640625" style="10" customWidth="1"/>
    <col min="14082" max="14082" width="9.33203125" style="10" customWidth="1"/>
    <col min="14083" max="14084" width="6.6640625" style="10" customWidth="1"/>
    <col min="14085" max="14085" width="12.6640625" style="10" customWidth="1"/>
    <col min="14086" max="14086" width="15.44140625" style="10" customWidth="1"/>
    <col min="14087" max="14087" width="13.6640625" style="10" customWidth="1"/>
    <col min="14088" max="14088" width="6.6640625" style="10" customWidth="1"/>
    <col min="14089" max="14089" width="9.33203125" style="10" customWidth="1"/>
    <col min="14090" max="14090" width="6.6640625" style="10" customWidth="1"/>
    <col min="14091" max="14091" width="3.33203125" style="10" customWidth="1"/>
    <col min="14092" max="14092" width="12.6640625" style="10" customWidth="1"/>
    <col min="14093" max="14093" width="14.88671875" style="10" customWidth="1"/>
    <col min="14094" max="14094" width="13.6640625" style="10" customWidth="1"/>
    <col min="14095" max="14336" width="9.109375" style="10"/>
    <col min="14337" max="14337" width="6.6640625" style="10" customWidth="1"/>
    <col min="14338" max="14338" width="9.33203125" style="10" customWidth="1"/>
    <col min="14339" max="14340" width="6.6640625" style="10" customWidth="1"/>
    <col min="14341" max="14341" width="12.6640625" style="10" customWidth="1"/>
    <col min="14342" max="14342" width="15.44140625" style="10" customWidth="1"/>
    <col min="14343" max="14343" width="13.6640625" style="10" customWidth="1"/>
    <col min="14344" max="14344" width="6.6640625" style="10" customWidth="1"/>
    <col min="14345" max="14345" width="9.33203125" style="10" customWidth="1"/>
    <col min="14346" max="14346" width="6.6640625" style="10" customWidth="1"/>
    <col min="14347" max="14347" width="3.33203125" style="10" customWidth="1"/>
    <col min="14348" max="14348" width="12.6640625" style="10" customWidth="1"/>
    <col min="14349" max="14349" width="14.88671875" style="10" customWidth="1"/>
    <col min="14350" max="14350" width="13.6640625" style="10" customWidth="1"/>
    <col min="14351" max="14592" width="9.109375" style="10"/>
    <col min="14593" max="14593" width="6.6640625" style="10" customWidth="1"/>
    <col min="14594" max="14594" width="9.33203125" style="10" customWidth="1"/>
    <col min="14595" max="14596" width="6.6640625" style="10" customWidth="1"/>
    <col min="14597" max="14597" width="12.6640625" style="10" customWidth="1"/>
    <col min="14598" max="14598" width="15.44140625" style="10" customWidth="1"/>
    <col min="14599" max="14599" width="13.6640625" style="10" customWidth="1"/>
    <col min="14600" max="14600" width="6.6640625" style="10" customWidth="1"/>
    <col min="14601" max="14601" width="9.33203125" style="10" customWidth="1"/>
    <col min="14602" max="14602" width="6.6640625" style="10" customWidth="1"/>
    <col min="14603" max="14603" width="3.33203125" style="10" customWidth="1"/>
    <col min="14604" max="14604" width="12.6640625" style="10" customWidth="1"/>
    <col min="14605" max="14605" width="14.88671875" style="10" customWidth="1"/>
    <col min="14606" max="14606" width="13.6640625" style="10" customWidth="1"/>
    <col min="14607" max="14848" width="9.109375" style="10"/>
    <col min="14849" max="14849" width="6.6640625" style="10" customWidth="1"/>
    <col min="14850" max="14850" width="9.33203125" style="10" customWidth="1"/>
    <col min="14851" max="14852" width="6.6640625" style="10" customWidth="1"/>
    <col min="14853" max="14853" width="12.6640625" style="10" customWidth="1"/>
    <col min="14854" max="14854" width="15.44140625" style="10" customWidth="1"/>
    <col min="14855" max="14855" width="13.6640625" style="10" customWidth="1"/>
    <col min="14856" max="14856" width="6.6640625" style="10" customWidth="1"/>
    <col min="14857" max="14857" width="9.33203125" style="10" customWidth="1"/>
    <col min="14858" max="14858" width="6.6640625" style="10" customWidth="1"/>
    <col min="14859" max="14859" width="3.33203125" style="10" customWidth="1"/>
    <col min="14860" max="14860" width="12.6640625" style="10" customWidth="1"/>
    <col min="14861" max="14861" width="14.88671875" style="10" customWidth="1"/>
    <col min="14862" max="14862" width="13.6640625" style="10" customWidth="1"/>
    <col min="14863" max="15104" width="9.109375" style="10"/>
    <col min="15105" max="15105" width="6.6640625" style="10" customWidth="1"/>
    <col min="15106" max="15106" width="9.33203125" style="10" customWidth="1"/>
    <col min="15107" max="15108" width="6.6640625" style="10" customWidth="1"/>
    <col min="15109" max="15109" width="12.6640625" style="10" customWidth="1"/>
    <col min="15110" max="15110" width="15.44140625" style="10" customWidth="1"/>
    <col min="15111" max="15111" width="13.6640625" style="10" customWidth="1"/>
    <col min="15112" max="15112" width="6.6640625" style="10" customWidth="1"/>
    <col min="15113" max="15113" width="9.33203125" style="10" customWidth="1"/>
    <col min="15114" max="15114" width="6.6640625" style="10" customWidth="1"/>
    <col min="15115" max="15115" width="3.33203125" style="10" customWidth="1"/>
    <col min="15116" max="15116" width="12.6640625" style="10" customWidth="1"/>
    <col min="15117" max="15117" width="14.88671875" style="10" customWidth="1"/>
    <col min="15118" max="15118" width="13.6640625" style="10" customWidth="1"/>
    <col min="15119" max="15360" width="9.109375" style="10"/>
    <col min="15361" max="15361" width="6.6640625" style="10" customWidth="1"/>
    <col min="15362" max="15362" width="9.33203125" style="10" customWidth="1"/>
    <col min="15363" max="15364" width="6.6640625" style="10" customWidth="1"/>
    <col min="15365" max="15365" width="12.6640625" style="10" customWidth="1"/>
    <col min="15366" max="15366" width="15.44140625" style="10" customWidth="1"/>
    <col min="15367" max="15367" width="13.6640625" style="10" customWidth="1"/>
    <col min="15368" max="15368" width="6.6640625" style="10" customWidth="1"/>
    <col min="15369" max="15369" width="9.33203125" style="10" customWidth="1"/>
    <col min="15370" max="15370" width="6.6640625" style="10" customWidth="1"/>
    <col min="15371" max="15371" width="3.33203125" style="10" customWidth="1"/>
    <col min="15372" max="15372" width="12.6640625" style="10" customWidth="1"/>
    <col min="15373" max="15373" width="14.88671875" style="10" customWidth="1"/>
    <col min="15374" max="15374" width="13.6640625" style="10" customWidth="1"/>
    <col min="15375" max="15616" width="9.109375" style="10"/>
    <col min="15617" max="15617" width="6.6640625" style="10" customWidth="1"/>
    <col min="15618" max="15618" width="9.33203125" style="10" customWidth="1"/>
    <col min="15619" max="15620" width="6.6640625" style="10" customWidth="1"/>
    <col min="15621" max="15621" width="12.6640625" style="10" customWidth="1"/>
    <col min="15622" max="15622" width="15.44140625" style="10" customWidth="1"/>
    <col min="15623" max="15623" width="13.6640625" style="10" customWidth="1"/>
    <col min="15624" max="15624" width="6.6640625" style="10" customWidth="1"/>
    <col min="15625" max="15625" width="9.33203125" style="10" customWidth="1"/>
    <col min="15626" max="15626" width="6.6640625" style="10" customWidth="1"/>
    <col min="15627" max="15627" width="3.33203125" style="10" customWidth="1"/>
    <col min="15628" max="15628" width="12.6640625" style="10" customWidth="1"/>
    <col min="15629" max="15629" width="14.88671875" style="10" customWidth="1"/>
    <col min="15630" max="15630" width="13.6640625" style="10" customWidth="1"/>
    <col min="15631" max="15872" width="9.109375" style="10"/>
    <col min="15873" max="15873" width="6.6640625" style="10" customWidth="1"/>
    <col min="15874" max="15874" width="9.33203125" style="10" customWidth="1"/>
    <col min="15875" max="15876" width="6.6640625" style="10" customWidth="1"/>
    <col min="15877" max="15877" width="12.6640625" style="10" customWidth="1"/>
    <col min="15878" max="15878" width="15.44140625" style="10" customWidth="1"/>
    <col min="15879" max="15879" width="13.6640625" style="10" customWidth="1"/>
    <col min="15880" max="15880" width="6.6640625" style="10" customWidth="1"/>
    <col min="15881" max="15881" width="9.33203125" style="10" customWidth="1"/>
    <col min="15882" max="15882" width="6.6640625" style="10" customWidth="1"/>
    <col min="15883" max="15883" width="3.33203125" style="10" customWidth="1"/>
    <col min="15884" max="15884" width="12.6640625" style="10" customWidth="1"/>
    <col min="15885" max="15885" width="14.88671875" style="10" customWidth="1"/>
    <col min="15886" max="15886" width="13.6640625" style="10" customWidth="1"/>
    <col min="15887" max="16128" width="9.109375" style="10"/>
    <col min="16129" max="16129" width="6.6640625" style="10" customWidth="1"/>
    <col min="16130" max="16130" width="9.33203125" style="10" customWidth="1"/>
    <col min="16131" max="16132" width="6.6640625" style="10" customWidth="1"/>
    <col min="16133" max="16133" width="12.6640625" style="10" customWidth="1"/>
    <col min="16134" max="16134" width="15.44140625" style="10" customWidth="1"/>
    <col min="16135" max="16135" width="13.6640625" style="10" customWidth="1"/>
    <col min="16136" max="16136" width="6.6640625" style="10" customWidth="1"/>
    <col min="16137" max="16137" width="9.33203125" style="10" customWidth="1"/>
    <col min="16138" max="16138" width="6.6640625" style="10" customWidth="1"/>
    <col min="16139" max="16139" width="3.33203125" style="10" customWidth="1"/>
    <col min="16140" max="16140" width="12.6640625" style="10" customWidth="1"/>
    <col min="16141" max="16141" width="14.88671875" style="10" customWidth="1"/>
    <col min="16142" max="16142" width="13.6640625" style="10" customWidth="1"/>
    <col min="16143" max="16384" width="9.109375" style="10"/>
  </cols>
  <sheetData>
    <row r="1" spans="1:21" ht="15.6">
      <c r="N1" s="275" t="s">
        <v>294</v>
      </c>
    </row>
    <row r="2" spans="1:21" ht="8.25" customHeight="1">
      <c r="N2" s="104"/>
    </row>
    <row r="3" spans="1:21" ht="15.75" customHeight="1">
      <c r="A3" s="95" t="str">
        <f>'Pg 8 Penalties'!A3</f>
        <v>X.002-180-2024/1RF</v>
      </c>
      <c r="B3" s="96"/>
      <c r="C3" s="96"/>
      <c r="D3" s="222"/>
      <c r="E3" s="1339"/>
      <c r="F3" s="1339"/>
      <c r="G3" s="1392">
        <f>'F1  Cover'!L8</f>
        <v>46053</v>
      </c>
      <c r="H3" s="1392"/>
      <c r="I3" s="1408" t="s">
        <v>207</v>
      </c>
      <c r="J3" s="1408"/>
      <c r="K3" s="1408"/>
      <c r="L3" s="1408"/>
      <c r="M3" s="1341">
        <f>'F1  Cover'!K8</f>
        <v>1</v>
      </c>
      <c r="N3" s="1342"/>
    </row>
    <row r="4" spans="1:21" ht="15.75" customHeight="1" thickBot="1">
      <c r="A4" s="1488"/>
      <c r="B4" s="1488"/>
    </row>
    <row r="5" spans="1:21" ht="15.75" customHeight="1">
      <c r="A5" s="301"/>
      <c r="B5" s="302"/>
      <c r="C5" s="194"/>
      <c r="D5" s="194"/>
      <c r="E5" s="194"/>
      <c r="F5" s="194"/>
      <c r="G5" s="194"/>
      <c r="H5" s="194"/>
      <c r="I5" s="194"/>
      <c r="J5" s="194"/>
      <c r="K5" s="194"/>
      <c r="L5" s="194"/>
      <c r="M5" s="194"/>
      <c r="N5" s="277"/>
    </row>
    <row r="6" spans="1:21" ht="15.75" customHeight="1">
      <c r="A6" s="1343" t="s">
        <v>295</v>
      </c>
      <c r="B6" s="1344"/>
      <c r="C6" s="1344"/>
      <c r="D6" s="1344"/>
      <c r="E6" s="1344"/>
      <c r="F6" s="1344"/>
      <c r="G6" s="1344"/>
      <c r="H6" s="1344"/>
      <c r="I6" s="1344"/>
      <c r="J6" s="1344"/>
      <c r="K6" s="1344"/>
      <c r="L6" s="1344"/>
      <c r="M6" s="1344"/>
      <c r="N6" s="1345"/>
    </row>
    <row r="7" spans="1:21" ht="15.75" customHeight="1" thickBot="1">
      <c r="A7" s="278"/>
      <c r="N7" s="279"/>
    </row>
    <row r="8" spans="1:21" ht="15.75" customHeight="1">
      <c r="A8" s="193"/>
      <c r="B8" s="303" t="s">
        <v>296</v>
      </c>
      <c r="C8" s="304"/>
      <c r="D8" s="304"/>
      <c r="E8" s="194"/>
      <c r="F8" s="194"/>
      <c r="G8" s="277"/>
      <c r="H8" s="1495" t="s">
        <v>297</v>
      </c>
      <c r="I8" s="1495"/>
      <c r="J8" s="1496" t="e">
        <f>'PROJECT INPUT DATA'!D11-28</f>
        <v>#VALUE!</v>
      </c>
      <c r="K8" s="1496"/>
      <c r="L8" s="1496"/>
      <c r="M8" s="194"/>
      <c r="N8" s="277"/>
      <c r="R8" s="305"/>
      <c r="S8" s="92"/>
    </row>
    <row r="9" spans="1:21" ht="15.75" customHeight="1">
      <c r="A9" s="278"/>
      <c r="B9" s="306" t="s">
        <v>298</v>
      </c>
      <c r="C9" s="305"/>
      <c r="D9" s="305"/>
      <c r="F9" s="307" t="s">
        <v>299</v>
      </c>
      <c r="G9" s="279"/>
      <c r="H9" s="1488" t="s">
        <v>300</v>
      </c>
      <c r="I9" s="1488"/>
      <c r="J9" s="1497"/>
      <c r="K9" s="1497"/>
      <c r="L9" s="1497"/>
      <c r="M9" s="1497"/>
      <c r="N9" s="172"/>
      <c r="R9" s="305"/>
      <c r="S9" s="305"/>
      <c r="U9" s="92"/>
    </row>
    <row r="10" spans="1:21" ht="15.75" customHeight="1">
      <c r="A10" s="278"/>
      <c r="B10" s="306" t="s">
        <v>301</v>
      </c>
      <c r="C10" s="92"/>
      <c r="D10" s="92"/>
      <c r="F10" s="306" t="s">
        <v>302</v>
      </c>
      <c r="G10" s="279"/>
      <c r="H10" s="1498" t="s">
        <v>303</v>
      </c>
      <c r="I10" s="1498"/>
      <c r="J10" s="11">
        <v>0</v>
      </c>
      <c r="K10" s="11"/>
      <c r="L10" s="11"/>
      <c r="N10" s="279"/>
      <c r="R10" s="305"/>
      <c r="S10" s="92"/>
      <c r="U10" s="305"/>
    </row>
    <row r="11" spans="1:21" ht="15.75" customHeight="1" thickBot="1">
      <c r="A11" s="747" t="s">
        <v>575</v>
      </c>
      <c r="B11" s="202"/>
      <c r="C11" s="202"/>
      <c r="D11" s="202"/>
      <c r="E11" s="202"/>
      <c r="F11" s="202"/>
      <c r="G11" s="308"/>
      <c r="H11" s="1499" t="s">
        <v>304</v>
      </c>
      <c r="I11" s="1499"/>
      <c r="J11" s="309">
        <v>1</v>
      </c>
      <c r="K11" s="309"/>
      <c r="L11" s="309"/>
      <c r="M11" s="202" t="s">
        <v>305</v>
      </c>
      <c r="N11" s="308"/>
      <c r="R11" s="305"/>
      <c r="S11" s="92"/>
      <c r="U11" s="305"/>
    </row>
    <row r="12" spans="1:21" ht="15.75" customHeight="1" thickBot="1">
      <c r="A12" s="310" t="s">
        <v>306</v>
      </c>
      <c r="B12" s="292" t="s">
        <v>307</v>
      </c>
      <c r="C12" s="311" t="s">
        <v>308</v>
      </c>
      <c r="D12" s="312"/>
      <c r="E12" s="292" t="s">
        <v>309</v>
      </c>
      <c r="F12" s="292" t="s">
        <v>310</v>
      </c>
      <c r="G12" s="293" t="s">
        <v>311</v>
      </c>
      <c r="H12" s="312" t="s">
        <v>306</v>
      </c>
      <c r="I12" s="292" t="s">
        <v>307</v>
      </c>
      <c r="J12" s="311" t="s">
        <v>308</v>
      </c>
      <c r="K12" s="312"/>
      <c r="L12" s="292" t="s">
        <v>309</v>
      </c>
      <c r="M12" s="292" t="s">
        <v>310</v>
      </c>
      <c r="N12" s="293" t="s">
        <v>311</v>
      </c>
    </row>
    <row r="13" spans="1:21" ht="12.75" customHeight="1">
      <c r="A13" s="313"/>
      <c r="B13" s="314"/>
      <c r="C13" s="586"/>
      <c r="D13" s="316"/>
      <c r="E13" s="317" t="s">
        <v>312</v>
      </c>
      <c r="F13" s="318"/>
      <c r="G13" s="319"/>
      <c r="H13" s="320"/>
      <c r="I13" s="320"/>
      <c r="J13" s="320"/>
      <c r="K13" s="320"/>
      <c r="L13" s="320"/>
      <c r="M13" s="320"/>
      <c r="N13" s="321"/>
    </row>
    <row r="14" spans="1:21" ht="12.75" customHeight="1">
      <c r="A14" s="322" t="s">
        <v>313</v>
      </c>
      <c r="B14" s="314"/>
      <c r="C14" s="315"/>
      <c r="D14" s="316"/>
      <c r="E14" s="317"/>
      <c r="F14" s="318"/>
      <c r="G14" s="321"/>
      <c r="H14" s="320"/>
      <c r="I14" s="320"/>
      <c r="J14" s="320"/>
      <c r="K14" s="320"/>
      <c r="L14" s="320"/>
      <c r="M14" s="320"/>
      <c r="N14" s="321"/>
    </row>
    <row r="15" spans="1:21">
      <c r="A15" s="323">
        <v>1</v>
      </c>
      <c r="B15" s="324"/>
      <c r="C15" s="325"/>
      <c r="D15" s="326"/>
      <c r="E15" s="270" t="e">
        <f t="shared" ref="E15:E33" si="0">ROUND((1-$J$10)*(($J$11*C15/C$13)-1),4)</f>
        <v>#DIV/0!</v>
      </c>
      <c r="F15" s="327">
        <v>0</v>
      </c>
      <c r="G15" s="328" t="e">
        <f t="shared" ref="G15:G44" si="1">ROUND((E15*F15),2)</f>
        <v>#DIV/0!</v>
      </c>
      <c r="H15" s="329">
        <v>22</v>
      </c>
      <c r="I15" s="324"/>
      <c r="J15" s="325"/>
      <c r="K15" s="330"/>
      <c r="L15" s="270" t="e">
        <f t="shared" ref="L15:L17" si="2">ROUND((1-$J$10)*(($J$11*J15/C$13)-1),4)</f>
        <v>#DIV/0!</v>
      </c>
      <c r="M15" s="327"/>
      <c r="N15" s="328" t="e">
        <f t="shared" ref="N15:N17" si="3">ROUND((L15*M15),2)</f>
        <v>#DIV/0!</v>
      </c>
    </row>
    <row r="16" spans="1:21">
      <c r="A16" s="323">
        <v>2</v>
      </c>
      <c r="B16" s="324"/>
      <c r="C16" s="325"/>
      <c r="D16" s="326"/>
      <c r="E16" s="270" t="e">
        <f t="shared" si="0"/>
        <v>#DIV/0!</v>
      </c>
      <c r="F16" s="327">
        <v>0</v>
      </c>
      <c r="G16" s="328" t="e">
        <f t="shared" si="1"/>
        <v>#DIV/0!</v>
      </c>
      <c r="H16" s="329">
        <v>23</v>
      </c>
      <c r="I16" s="324"/>
      <c r="J16" s="325"/>
      <c r="K16" s="330"/>
      <c r="L16" s="270" t="e">
        <f t="shared" si="2"/>
        <v>#DIV/0!</v>
      </c>
      <c r="M16" s="327"/>
      <c r="N16" s="328" t="e">
        <f t="shared" si="3"/>
        <v>#DIV/0!</v>
      </c>
    </row>
    <row r="17" spans="1:14">
      <c r="A17" s="323">
        <v>3</v>
      </c>
      <c r="B17" s="324"/>
      <c r="C17" s="325"/>
      <c r="D17" s="326"/>
      <c r="E17" s="270" t="e">
        <f t="shared" si="0"/>
        <v>#DIV/0!</v>
      </c>
      <c r="F17" s="327"/>
      <c r="G17" s="328" t="e">
        <f t="shared" si="1"/>
        <v>#DIV/0!</v>
      </c>
      <c r="H17" s="329">
        <v>24</v>
      </c>
      <c r="I17" s="324"/>
      <c r="J17" s="325"/>
      <c r="K17" s="330"/>
      <c r="L17" s="270" t="e">
        <f t="shared" si="2"/>
        <v>#DIV/0!</v>
      </c>
      <c r="M17" s="327"/>
      <c r="N17" s="328" t="e">
        <f t="shared" si="3"/>
        <v>#DIV/0!</v>
      </c>
    </row>
    <row r="18" spans="1:14">
      <c r="A18" s="323">
        <v>4</v>
      </c>
      <c r="B18" s="324"/>
      <c r="C18" s="325"/>
      <c r="D18" s="326"/>
      <c r="E18" s="270" t="e">
        <f t="shared" si="0"/>
        <v>#DIV/0!</v>
      </c>
      <c r="F18" s="327"/>
      <c r="G18" s="328" t="e">
        <f t="shared" si="1"/>
        <v>#DIV/0!</v>
      </c>
      <c r="H18" s="329">
        <v>25</v>
      </c>
      <c r="I18" s="324"/>
      <c r="J18" s="325"/>
      <c r="K18" s="330"/>
      <c r="L18" s="270" t="e">
        <f t="shared" ref="L18:L57" si="4">ROUND((1-$J$10)*(($J$11*J18/C$13)-1),4)</f>
        <v>#DIV/0!</v>
      </c>
      <c r="M18" s="327"/>
      <c r="N18" s="328" t="e">
        <f t="shared" ref="N18:N57" si="5">ROUND((L18*M18),2)</f>
        <v>#DIV/0!</v>
      </c>
    </row>
    <row r="19" spans="1:14">
      <c r="A19" s="323">
        <v>5</v>
      </c>
      <c r="B19" s="324"/>
      <c r="C19" s="325"/>
      <c r="D19" s="326" t="s">
        <v>314</v>
      </c>
      <c r="E19" s="270" t="e">
        <f t="shared" si="0"/>
        <v>#DIV/0!</v>
      </c>
      <c r="F19" s="327"/>
      <c r="G19" s="328" t="e">
        <f t="shared" si="1"/>
        <v>#DIV/0!</v>
      </c>
      <c r="H19" s="329">
        <v>26</v>
      </c>
      <c r="I19" s="324"/>
      <c r="J19" s="325"/>
      <c r="K19" s="330"/>
      <c r="L19" s="270" t="e">
        <f t="shared" si="4"/>
        <v>#DIV/0!</v>
      </c>
      <c r="M19" s="327"/>
      <c r="N19" s="328" t="e">
        <f t="shared" si="5"/>
        <v>#DIV/0!</v>
      </c>
    </row>
    <row r="20" spans="1:14">
      <c r="A20" s="323">
        <v>6</v>
      </c>
      <c r="B20" s="324"/>
      <c r="C20" s="325"/>
      <c r="D20" s="326"/>
      <c r="E20" s="270" t="e">
        <f t="shared" si="0"/>
        <v>#DIV/0!</v>
      </c>
      <c r="F20" s="327"/>
      <c r="G20" s="328" t="e">
        <f>ROUND((E20*F20),2)</f>
        <v>#DIV/0!</v>
      </c>
      <c r="H20" s="329">
        <v>27</v>
      </c>
      <c r="I20" s="324"/>
      <c r="J20" s="325"/>
      <c r="K20" s="330"/>
      <c r="L20" s="270" t="e">
        <f t="shared" si="4"/>
        <v>#DIV/0!</v>
      </c>
      <c r="M20" s="327"/>
      <c r="N20" s="328" t="e">
        <f t="shared" si="5"/>
        <v>#DIV/0!</v>
      </c>
    </row>
    <row r="21" spans="1:14">
      <c r="A21" s="323">
        <v>7</v>
      </c>
      <c r="B21" s="324"/>
      <c r="C21" s="325"/>
      <c r="D21" s="326"/>
      <c r="E21" s="270" t="e">
        <f t="shared" si="0"/>
        <v>#DIV/0!</v>
      </c>
      <c r="F21" s="327"/>
      <c r="G21" s="328" t="e">
        <f t="shared" si="1"/>
        <v>#DIV/0!</v>
      </c>
      <c r="H21" s="329">
        <v>28</v>
      </c>
      <c r="I21" s="324"/>
      <c r="J21" s="325"/>
      <c r="K21" s="330"/>
      <c r="L21" s="270" t="e">
        <f t="shared" si="4"/>
        <v>#DIV/0!</v>
      </c>
      <c r="M21" s="327"/>
      <c r="N21" s="328" t="e">
        <f t="shared" si="5"/>
        <v>#DIV/0!</v>
      </c>
    </row>
    <row r="22" spans="1:14">
      <c r="A22" s="323">
        <v>8</v>
      </c>
      <c r="B22" s="324"/>
      <c r="C22" s="325"/>
      <c r="D22" s="326"/>
      <c r="E22" s="270" t="e">
        <f t="shared" si="0"/>
        <v>#DIV/0!</v>
      </c>
      <c r="F22" s="327"/>
      <c r="G22" s="328" t="e">
        <f t="shared" si="1"/>
        <v>#DIV/0!</v>
      </c>
      <c r="H22" s="329">
        <v>29</v>
      </c>
      <c r="I22" s="324"/>
      <c r="J22" s="325"/>
      <c r="K22" s="330"/>
      <c r="L22" s="270" t="e">
        <f t="shared" si="4"/>
        <v>#DIV/0!</v>
      </c>
      <c r="M22" s="327"/>
      <c r="N22" s="328" t="e">
        <f t="shared" si="5"/>
        <v>#DIV/0!</v>
      </c>
    </row>
    <row r="23" spans="1:14">
      <c r="A23" s="323">
        <v>9</v>
      </c>
      <c r="B23" s="324"/>
      <c r="C23" s="325"/>
      <c r="D23" s="326"/>
      <c r="E23" s="270" t="e">
        <f t="shared" si="0"/>
        <v>#DIV/0!</v>
      </c>
      <c r="F23" s="327"/>
      <c r="G23" s="328" t="e">
        <f t="shared" si="1"/>
        <v>#DIV/0!</v>
      </c>
      <c r="H23" s="329">
        <v>30</v>
      </c>
      <c r="I23" s="324"/>
      <c r="J23" s="325"/>
      <c r="K23" s="330"/>
      <c r="L23" s="270" t="e">
        <f t="shared" si="4"/>
        <v>#DIV/0!</v>
      </c>
      <c r="M23" s="327"/>
      <c r="N23" s="328" t="e">
        <f t="shared" si="5"/>
        <v>#DIV/0!</v>
      </c>
    </row>
    <row r="24" spans="1:14">
      <c r="A24" s="323">
        <v>10</v>
      </c>
      <c r="B24" s="324"/>
      <c r="C24" s="325"/>
      <c r="D24" s="326"/>
      <c r="E24" s="270" t="e">
        <f t="shared" si="0"/>
        <v>#DIV/0!</v>
      </c>
      <c r="F24" s="327"/>
      <c r="G24" s="328" t="e">
        <f t="shared" si="1"/>
        <v>#DIV/0!</v>
      </c>
      <c r="H24" s="329">
        <v>31</v>
      </c>
      <c r="I24" s="324"/>
      <c r="J24" s="325"/>
      <c r="K24" s="330"/>
      <c r="L24" s="270" t="e">
        <f t="shared" si="4"/>
        <v>#DIV/0!</v>
      </c>
      <c r="M24" s="327"/>
      <c r="N24" s="328" t="e">
        <f t="shared" si="5"/>
        <v>#DIV/0!</v>
      </c>
    </row>
    <row r="25" spans="1:14">
      <c r="A25" s="323">
        <v>11</v>
      </c>
      <c r="B25" s="324"/>
      <c r="C25" s="325"/>
      <c r="D25" s="326"/>
      <c r="E25" s="270" t="e">
        <f t="shared" si="0"/>
        <v>#DIV/0!</v>
      </c>
      <c r="F25" s="327"/>
      <c r="G25" s="328" t="e">
        <f t="shared" si="1"/>
        <v>#DIV/0!</v>
      </c>
      <c r="H25" s="329">
        <v>32</v>
      </c>
      <c r="I25" s="324"/>
      <c r="J25" s="325"/>
      <c r="K25" s="330"/>
      <c r="L25" s="270" t="e">
        <f t="shared" si="4"/>
        <v>#DIV/0!</v>
      </c>
      <c r="M25" s="327"/>
      <c r="N25" s="328" t="e">
        <f t="shared" si="5"/>
        <v>#DIV/0!</v>
      </c>
    </row>
    <row r="26" spans="1:14">
      <c r="A26" s="323">
        <v>12</v>
      </c>
      <c r="B26" s="324"/>
      <c r="C26" s="325"/>
      <c r="D26" s="326"/>
      <c r="E26" s="270" t="e">
        <f t="shared" si="0"/>
        <v>#DIV/0!</v>
      </c>
      <c r="F26" s="327"/>
      <c r="G26" s="328" t="e">
        <f t="shared" si="1"/>
        <v>#DIV/0!</v>
      </c>
      <c r="H26" s="329">
        <v>33</v>
      </c>
      <c r="I26" s="324"/>
      <c r="J26" s="325"/>
      <c r="K26" s="330"/>
      <c r="L26" s="270" t="e">
        <f t="shared" si="4"/>
        <v>#DIV/0!</v>
      </c>
      <c r="M26" s="327"/>
      <c r="N26" s="328" t="e">
        <f t="shared" si="5"/>
        <v>#DIV/0!</v>
      </c>
    </row>
    <row r="27" spans="1:14">
      <c r="A27" s="323">
        <v>13</v>
      </c>
      <c r="B27" s="324"/>
      <c r="C27" s="325"/>
      <c r="D27" s="326"/>
      <c r="E27" s="270" t="e">
        <f t="shared" si="0"/>
        <v>#DIV/0!</v>
      </c>
      <c r="F27" s="327"/>
      <c r="G27" s="328" t="e">
        <f t="shared" si="1"/>
        <v>#DIV/0!</v>
      </c>
      <c r="H27" s="329">
        <v>34</v>
      </c>
      <c r="I27" s="324"/>
      <c r="J27" s="325"/>
      <c r="K27" s="330"/>
      <c r="L27" s="270" t="e">
        <f t="shared" si="4"/>
        <v>#DIV/0!</v>
      </c>
      <c r="M27" s="327"/>
      <c r="N27" s="328" t="e">
        <f t="shared" si="5"/>
        <v>#DIV/0!</v>
      </c>
    </row>
    <row r="28" spans="1:14">
      <c r="A28" s="323">
        <v>14</v>
      </c>
      <c r="B28" s="324"/>
      <c r="C28" s="325"/>
      <c r="D28" s="326"/>
      <c r="E28" s="270" t="e">
        <f t="shared" si="0"/>
        <v>#DIV/0!</v>
      </c>
      <c r="F28" s="327"/>
      <c r="G28" s="328" t="e">
        <f t="shared" si="1"/>
        <v>#DIV/0!</v>
      </c>
      <c r="H28" s="329">
        <v>35</v>
      </c>
      <c r="I28" s="324"/>
      <c r="J28" s="325"/>
      <c r="K28" s="330"/>
      <c r="L28" s="270" t="e">
        <f t="shared" si="4"/>
        <v>#DIV/0!</v>
      </c>
      <c r="M28" s="327"/>
      <c r="N28" s="328" t="e">
        <f t="shared" si="5"/>
        <v>#DIV/0!</v>
      </c>
    </row>
    <row r="29" spans="1:14">
      <c r="A29" s="323">
        <v>15</v>
      </c>
      <c r="B29" s="324"/>
      <c r="C29" s="325"/>
      <c r="D29" s="326"/>
      <c r="E29" s="270" t="e">
        <f t="shared" si="0"/>
        <v>#DIV/0!</v>
      </c>
      <c r="F29" s="327"/>
      <c r="G29" s="328" t="e">
        <f t="shared" si="1"/>
        <v>#DIV/0!</v>
      </c>
      <c r="H29" s="329">
        <v>36</v>
      </c>
      <c r="I29" s="324"/>
      <c r="J29" s="325"/>
      <c r="K29" s="330"/>
      <c r="L29" s="270" t="e">
        <f t="shared" si="4"/>
        <v>#DIV/0!</v>
      </c>
      <c r="M29" s="327"/>
      <c r="N29" s="328" t="e">
        <f t="shared" si="5"/>
        <v>#DIV/0!</v>
      </c>
    </row>
    <row r="30" spans="1:14">
      <c r="A30" s="323">
        <v>16</v>
      </c>
      <c r="B30" s="324"/>
      <c r="C30" s="325"/>
      <c r="D30" s="326"/>
      <c r="E30" s="270" t="e">
        <f t="shared" si="0"/>
        <v>#DIV/0!</v>
      </c>
      <c r="F30" s="327"/>
      <c r="G30" s="328" t="e">
        <f t="shared" si="1"/>
        <v>#DIV/0!</v>
      </c>
      <c r="H30" s="329">
        <v>37</v>
      </c>
      <c r="I30" s="324"/>
      <c r="J30" s="325"/>
      <c r="K30" s="330"/>
      <c r="L30" s="270" t="e">
        <f t="shared" si="4"/>
        <v>#DIV/0!</v>
      </c>
      <c r="M30" s="327"/>
      <c r="N30" s="328" t="e">
        <f t="shared" si="5"/>
        <v>#DIV/0!</v>
      </c>
    </row>
    <row r="31" spans="1:14">
      <c r="A31" s="323">
        <v>17</v>
      </c>
      <c r="B31" s="324"/>
      <c r="C31" s="325"/>
      <c r="D31" s="326"/>
      <c r="E31" s="270" t="e">
        <f t="shared" si="0"/>
        <v>#DIV/0!</v>
      </c>
      <c r="F31" s="327"/>
      <c r="G31" s="328" t="e">
        <f t="shared" si="1"/>
        <v>#DIV/0!</v>
      </c>
      <c r="H31" s="329">
        <v>38</v>
      </c>
      <c r="I31" s="324"/>
      <c r="J31" s="325"/>
      <c r="K31" s="330"/>
      <c r="L31" s="270" t="e">
        <f t="shared" si="4"/>
        <v>#DIV/0!</v>
      </c>
      <c r="M31" s="327"/>
      <c r="N31" s="328" t="e">
        <f t="shared" si="5"/>
        <v>#DIV/0!</v>
      </c>
    </row>
    <row r="32" spans="1:14">
      <c r="A32" s="323">
        <v>18</v>
      </c>
      <c r="B32" s="324"/>
      <c r="C32" s="325"/>
      <c r="D32" s="326"/>
      <c r="E32" s="270" t="e">
        <f t="shared" si="0"/>
        <v>#DIV/0!</v>
      </c>
      <c r="F32" s="327"/>
      <c r="G32" s="328" t="e">
        <f t="shared" si="1"/>
        <v>#DIV/0!</v>
      </c>
      <c r="H32" s="329">
        <v>39</v>
      </c>
      <c r="I32" s="324"/>
      <c r="J32" s="325"/>
      <c r="K32" s="330"/>
      <c r="L32" s="270" t="e">
        <f t="shared" si="4"/>
        <v>#DIV/0!</v>
      </c>
      <c r="M32" s="327"/>
      <c r="N32" s="328" t="e">
        <f t="shared" si="5"/>
        <v>#DIV/0!</v>
      </c>
    </row>
    <row r="33" spans="1:14">
      <c r="A33" s="323">
        <v>19</v>
      </c>
      <c r="B33" s="324"/>
      <c r="C33" s="325"/>
      <c r="D33" s="326"/>
      <c r="E33" s="270" t="e">
        <f t="shared" si="0"/>
        <v>#DIV/0!</v>
      </c>
      <c r="F33" s="327"/>
      <c r="G33" s="328" t="e">
        <f t="shared" si="1"/>
        <v>#DIV/0!</v>
      </c>
      <c r="H33" s="329">
        <v>40</v>
      </c>
      <c r="I33" s="324"/>
      <c r="J33" s="325"/>
      <c r="K33" s="330"/>
      <c r="L33" s="270" t="e">
        <f t="shared" si="4"/>
        <v>#DIV/0!</v>
      </c>
      <c r="M33" s="327"/>
      <c r="N33" s="328" t="e">
        <f t="shared" si="5"/>
        <v>#DIV/0!</v>
      </c>
    </row>
    <row r="34" spans="1:14" ht="13.8" thickBot="1">
      <c r="A34" s="331"/>
      <c r="B34" s="332"/>
      <c r="C34" s="480"/>
      <c r="D34" s="479"/>
      <c r="E34" s="333"/>
      <c r="F34" s="334"/>
      <c r="G34" s="335"/>
      <c r="H34" s="329">
        <v>41</v>
      </c>
      <c r="I34" s="324"/>
      <c r="J34" s="325"/>
      <c r="K34" s="330"/>
      <c r="L34" s="270" t="e">
        <f t="shared" si="4"/>
        <v>#DIV/0!</v>
      </c>
      <c r="M34" s="327"/>
      <c r="N34" s="328" t="e">
        <f t="shared" si="5"/>
        <v>#DIV/0!</v>
      </c>
    </row>
    <row r="35" spans="1:14" ht="13.8" thickBot="1">
      <c r="A35" s="1489" t="s">
        <v>315</v>
      </c>
      <c r="B35" s="1490"/>
      <c r="C35" s="1490"/>
      <c r="D35" s="1490"/>
      <c r="E35" s="1491"/>
      <c r="F35" s="336">
        <f>SUM(F15:F33)</f>
        <v>0</v>
      </c>
      <c r="G35" s="337">
        <f>IF(F35=0,0,(SUM(G15:G33)))</f>
        <v>0</v>
      </c>
      <c r="H35" s="329">
        <v>42</v>
      </c>
      <c r="I35" s="324"/>
      <c r="J35" s="325"/>
      <c r="K35" s="330"/>
      <c r="L35" s="270" t="e">
        <f t="shared" si="4"/>
        <v>#DIV/0!</v>
      </c>
      <c r="M35" s="327"/>
      <c r="N35" s="328" t="e">
        <f t="shared" si="5"/>
        <v>#DIV/0!</v>
      </c>
    </row>
    <row r="36" spans="1:14">
      <c r="A36" s="322" t="s">
        <v>136</v>
      </c>
      <c r="B36" s="314"/>
      <c r="C36" s="315"/>
      <c r="D36" s="316"/>
      <c r="E36" s="317"/>
      <c r="F36" s="318"/>
      <c r="G36" s="321"/>
      <c r="H36" s="329">
        <v>43</v>
      </c>
      <c r="I36" s="324"/>
      <c r="J36" s="325"/>
      <c r="K36" s="330"/>
      <c r="L36" s="270" t="e">
        <f t="shared" si="4"/>
        <v>#DIV/0!</v>
      </c>
      <c r="M36" s="327"/>
      <c r="N36" s="328" t="e">
        <f t="shared" si="5"/>
        <v>#DIV/0!</v>
      </c>
    </row>
    <row r="37" spans="1:14">
      <c r="A37" s="323">
        <v>1</v>
      </c>
      <c r="B37" s="324"/>
      <c r="C37" s="325"/>
      <c r="D37" s="326" t="s">
        <v>314</v>
      </c>
      <c r="E37" s="270" t="e">
        <f>ROUND((1-$J$10)*(($J$11*C37/C$13)-1),4)</f>
        <v>#DIV/0!</v>
      </c>
      <c r="F37" s="327"/>
      <c r="G37" s="328" t="e">
        <f t="shared" si="1"/>
        <v>#DIV/0!</v>
      </c>
      <c r="H37" s="329">
        <v>44</v>
      </c>
      <c r="I37" s="324"/>
      <c r="J37" s="325"/>
      <c r="K37" s="330"/>
      <c r="L37" s="270" t="e">
        <f t="shared" si="4"/>
        <v>#DIV/0!</v>
      </c>
      <c r="M37" s="327"/>
      <c r="N37" s="328" t="e">
        <f t="shared" si="5"/>
        <v>#DIV/0!</v>
      </c>
    </row>
    <row r="38" spans="1:14">
      <c r="A38" s="323">
        <v>2</v>
      </c>
      <c r="B38" s="324"/>
      <c r="C38" s="325"/>
      <c r="D38" s="326"/>
      <c r="E38" s="270" t="e">
        <f>ROUND((1-$J$10)*(($J$11*C38/C$13)-1),4)</f>
        <v>#DIV/0!</v>
      </c>
      <c r="F38" s="327"/>
      <c r="G38" s="328" t="e">
        <f t="shared" si="1"/>
        <v>#DIV/0!</v>
      </c>
      <c r="H38" s="329">
        <v>45</v>
      </c>
      <c r="I38" s="324"/>
      <c r="J38" s="325"/>
      <c r="K38" s="330"/>
      <c r="L38" s="270" t="e">
        <f t="shared" si="4"/>
        <v>#DIV/0!</v>
      </c>
      <c r="M38" s="327"/>
      <c r="N38" s="328" t="e">
        <f t="shared" si="5"/>
        <v>#DIV/0!</v>
      </c>
    </row>
    <row r="39" spans="1:14">
      <c r="A39" s="323">
        <v>3</v>
      </c>
      <c r="B39" s="324"/>
      <c r="C39" s="325"/>
      <c r="D39" s="326"/>
      <c r="E39" s="270" t="e">
        <f>ROUND((1-$J$10)*(($J$11*C39/C$13)-1),4)</f>
        <v>#DIV/0!</v>
      </c>
      <c r="F39" s="327"/>
      <c r="G39" s="328" t="e">
        <f t="shared" si="1"/>
        <v>#DIV/0!</v>
      </c>
      <c r="H39" s="329">
        <v>46</v>
      </c>
      <c r="I39" s="324"/>
      <c r="J39" s="325"/>
      <c r="K39" s="330"/>
      <c r="L39" s="270" t="e">
        <f t="shared" si="4"/>
        <v>#DIV/0!</v>
      </c>
      <c r="M39" s="327"/>
      <c r="N39" s="328" t="e">
        <f t="shared" si="5"/>
        <v>#DIV/0!</v>
      </c>
    </row>
    <row r="40" spans="1:14">
      <c r="A40" s="323">
        <v>4</v>
      </c>
      <c r="B40" s="324"/>
      <c r="C40" s="325"/>
      <c r="D40" s="326"/>
      <c r="E40" s="270" t="e">
        <f t="shared" ref="E40:E44" si="6">ROUND((1-$J$10)*(($J$11*C40/C$13)-1),4)</f>
        <v>#DIV/0!</v>
      </c>
      <c r="F40" s="327"/>
      <c r="G40" s="328" t="e">
        <f t="shared" si="1"/>
        <v>#DIV/0!</v>
      </c>
      <c r="H40" s="329">
        <v>47</v>
      </c>
      <c r="I40" s="324"/>
      <c r="J40" s="325"/>
      <c r="K40" s="330"/>
      <c r="L40" s="270" t="e">
        <f t="shared" si="4"/>
        <v>#DIV/0!</v>
      </c>
      <c r="M40" s="327"/>
      <c r="N40" s="328" t="e">
        <f t="shared" si="5"/>
        <v>#DIV/0!</v>
      </c>
    </row>
    <row r="41" spans="1:14">
      <c r="A41" s="323">
        <v>5</v>
      </c>
      <c r="B41" s="324"/>
      <c r="C41" s="325"/>
      <c r="D41" s="326"/>
      <c r="E41" s="270" t="e">
        <f t="shared" si="6"/>
        <v>#DIV/0!</v>
      </c>
      <c r="F41" s="327"/>
      <c r="G41" s="328" t="e">
        <f t="shared" si="1"/>
        <v>#DIV/0!</v>
      </c>
      <c r="H41" s="329">
        <v>48</v>
      </c>
      <c r="I41" s="324"/>
      <c r="J41" s="325"/>
      <c r="K41" s="330"/>
      <c r="L41" s="270" t="e">
        <f t="shared" si="4"/>
        <v>#DIV/0!</v>
      </c>
      <c r="M41" s="327"/>
      <c r="N41" s="328" t="e">
        <f t="shared" si="5"/>
        <v>#DIV/0!</v>
      </c>
    </row>
    <row r="42" spans="1:14">
      <c r="A42" s="323">
        <v>6</v>
      </c>
      <c r="B42" s="324"/>
      <c r="C42" s="325"/>
      <c r="D42" s="326"/>
      <c r="E42" s="270" t="e">
        <f t="shared" si="6"/>
        <v>#DIV/0!</v>
      </c>
      <c r="F42" s="327"/>
      <c r="G42" s="328" t="e">
        <f t="shared" si="1"/>
        <v>#DIV/0!</v>
      </c>
      <c r="H42" s="329">
        <v>49</v>
      </c>
      <c r="I42" s="324"/>
      <c r="J42" s="325"/>
      <c r="K42" s="330"/>
      <c r="L42" s="270" t="e">
        <f t="shared" si="4"/>
        <v>#DIV/0!</v>
      </c>
      <c r="M42" s="327"/>
      <c r="N42" s="328" t="e">
        <f t="shared" si="5"/>
        <v>#DIV/0!</v>
      </c>
    </row>
    <row r="43" spans="1:14">
      <c r="A43" s="323">
        <v>7</v>
      </c>
      <c r="B43" s="324"/>
      <c r="C43" s="325"/>
      <c r="D43" s="326"/>
      <c r="E43" s="270" t="e">
        <f t="shared" si="6"/>
        <v>#DIV/0!</v>
      </c>
      <c r="F43" s="327"/>
      <c r="G43" s="328" t="e">
        <f t="shared" si="1"/>
        <v>#DIV/0!</v>
      </c>
      <c r="H43" s="329">
        <v>50</v>
      </c>
      <c r="I43" s="324"/>
      <c r="J43" s="325"/>
      <c r="K43" s="330"/>
      <c r="L43" s="270" t="e">
        <f t="shared" si="4"/>
        <v>#DIV/0!</v>
      </c>
      <c r="M43" s="327"/>
      <c r="N43" s="328" t="e">
        <f t="shared" si="5"/>
        <v>#DIV/0!</v>
      </c>
    </row>
    <row r="44" spans="1:14">
      <c r="A44" s="323">
        <v>8</v>
      </c>
      <c r="B44" s="324"/>
      <c r="C44" s="325"/>
      <c r="D44" s="326"/>
      <c r="E44" s="270" t="e">
        <f t="shared" si="6"/>
        <v>#DIV/0!</v>
      </c>
      <c r="F44" s="327"/>
      <c r="G44" s="328" t="e">
        <f t="shared" si="1"/>
        <v>#DIV/0!</v>
      </c>
      <c r="H44" s="329">
        <v>51</v>
      </c>
      <c r="I44" s="324"/>
      <c r="J44" s="325"/>
      <c r="K44" s="330"/>
      <c r="L44" s="270" t="e">
        <f t="shared" si="4"/>
        <v>#DIV/0!</v>
      </c>
      <c r="M44" s="327"/>
      <c r="N44" s="328" t="e">
        <f t="shared" si="5"/>
        <v>#DIV/0!</v>
      </c>
    </row>
    <row r="45" spans="1:14">
      <c r="A45" s="323">
        <v>9</v>
      </c>
      <c r="B45" s="324"/>
      <c r="C45" s="325"/>
      <c r="D45" s="326"/>
      <c r="E45" s="270" t="e">
        <f t="shared" ref="E45:E57" si="7">ROUND((1-$J$10)*(($J$11*C45/C$13)-1),4)</f>
        <v>#DIV/0!</v>
      </c>
      <c r="F45" s="327"/>
      <c r="G45" s="328" t="e">
        <f t="shared" ref="G45:G57" si="8">ROUND((E45*F45),2)</f>
        <v>#DIV/0!</v>
      </c>
      <c r="H45" s="329">
        <v>52</v>
      </c>
      <c r="I45" s="324"/>
      <c r="J45" s="325"/>
      <c r="K45" s="330"/>
      <c r="L45" s="270" t="e">
        <f t="shared" si="4"/>
        <v>#DIV/0!</v>
      </c>
      <c r="M45" s="327"/>
      <c r="N45" s="328" t="e">
        <f t="shared" si="5"/>
        <v>#DIV/0!</v>
      </c>
    </row>
    <row r="46" spans="1:14">
      <c r="A46" s="323">
        <v>10</v>
      </c>
      <c r="B46" s="324"/>
      <c r="C46" s="325"/>
      <c r="D46" s="326"/>
      <c r="E46" s="270" t="e">
        <f t="shared" si="7"/>
        <v>#DIV/0!</v>
      </c>
      <c r="F46" s="327"/>
      <c r="G46" s="328" t="e">
        <f t="shared" si="8"/>
        <v>#DIV/0!</v>
      </c>
      <c r="H46" s="329">
        <v>53</v>
      </c>
      <c r="I46" s="324"/>
      <c r="J46" s="325"/>
      <c r="K46" s="330"/>
      <c r="L46" s="270" t="e">
        <f t="shared" si="4"/>
        <v>#DIV/0!</v>
      </c>
      <c r="M46" s="327"/>
      <c r="N46" s="328" t="e">
        <f t="shared" si="5"/>
        <v>#DIV/0!</v>
      </c>
    </row>
    <row r="47" spans="1:14">
      <c r="A47" s="323">
        <v>11</v>
      </c>
      <c r="B47" s="324"/>
      <c r="C47" s="325"/>
      <c r="D47" s="326"/>
      <c r="E47" s="270" t="e">
        <f t="shared" si="7"/>
        <v>#DIV/0!</v>
      </c>
      <c r="F47" s="327"/>
      <c r="G47" s="328" t="e">
        <f t="shared" si="8"/>
        <v>#DIV/0!</v>
      </c>
      <c r="H47" s="329">
        <v>54</v>
      </c>
      <c r="I47" s="324"/>
      <c r="J47" s="325"/>
      <c r="K47" s="330"/>
      <c r="L47" s="270" t="e">
        <f t="shared" si="4"/>
        <v>#DIV/0!</v>
      </c>
      <c r="M47" s="327"/>
      <c r="N47" s="328" t="e">
        <f t="shared" si="5"/>
        <v>#DIV/0!</v>
      </c>
    </row>
    <row r="48" spans="1:14">
      <c r="A48" s="323">
        <v>12</v>
      </c>
      <c r="B48" s="324"/>
      <c r="C48" s="325"/>
      <c r="D48" s="326"/>
      <c r="E48" s="270" t="e">
        <f t="shared" si="7"/>
        <v>#DIV/0!</v>
      </c>
      <c r="F48" s="327"/>
      <c r="G48" s="328" t="e">
        <f t="shared" si="8"/>
        <v>#DIV/0!</v>
      </c>
      <c r="H48" s="329">
        <v>55</v>
      </c>
      <c r="I48" s="324"/>
      <c r="J48" s="325"/>
      <c r="K48" s="330"/>
      <c r="L48" s="270" t="e">
        <f t="shared" si="4"/>
        <v>#DIV/0!</v>
      </c>
      <c r="M48" s="327"/>
      <c r="N48" s="328" t="e">
        <f t="shared" si="5"/>
        <v>#DIV/0!</v>
      </c>
    </row>
    <row r="49" spans="1:14">
      <c r="A49" s="323">
        <v>13</v>
      </c>
      <c r="B49" s="324"/>
      <c r="C49" s="325"/>
      <c r="D49" s="326"/>
      <c r="E49" s="270" t="e">
        <f t="shared" si="7"/>
        <v>#DIV/0!</v>
      </c>
      <c r="F49" s="327"/>
      <c r="G49" s="328" t="e">
        <f t="shared" si="8"/>
        <v>#DIV/0!</v>
      </c>
      <c r="H49" s="329">
        <v>56</v>
      </c>
      <c r="I49" s="324"/>
      <c r="J49" s="325"/>
      <c r="K49" s="330"/>
      <c r="L49" s="270" t="e">
        <f t="shared" si="4"/>
        <v>#DIV/0!</v>
      </c>
      <c r="M49" s="327"/>
      <c r="N49" s="328" t="e">
        <f t="shared" si="5"/>
        <v>#DIV/0!</v>
      </c>
    </row>
    <row r="50" spans="1:14">
      <c r="A50" s="323">
        <v>14</v>
      </c>
      <c r="B50" s="324"/>
      <c r="C50" s="325"/>
      <c r="D50" s="326"/>
      <c r="E50" s="270" t="e">
        <f t="shared" si="7"/>
        <v>#DIV/0!</v>
      </c>
      <c r="F50" s="327"/>
      <c r="G50" s="328" t="e">
        <f t="shared" si="8"/>
        <v>#DIV/0!</v>
      </c>
      <c r="H50" s="329">
        <v>57</v>
      </c>
      <c r="I50" s="324"/>
      <c r="J50" s="325"/>
      <c r="K50" s="330"/>
      <c r="L50" s="270" t="e">
        <f t="shared" si="4"/>
        <v>#DIV/0!</v>
      </c>
      <c r="M50" s="327"/>
      <c r="N50" s="328" t="e">
        <f t="shared" si="5"/>
        <v>#DIV/0!</v>
      </c>
    </row>
    <row r="51" spans="1:14">
      <c r="A51" s="323">
        <v>15</v>
      </c>
      <c r="B51" s="324"/>
      <c r="C51" s="325"/>
      <c r="D51" s="326"/>
      <c r="E51" s="270" t="e">
        <f t="shared" si="7"/>
        <v>#DIV/0!</v>
      </c>
      <c r="F51" s="327"/>
      <c r="G51" s="328" t="e">
        <f t="shared" si="8"/>
        <v>#DIV/0!</v>
      </c>
      <c r="H51" s="329">
        <v>58</v>
      </c>
      <c r="I51" s="324"/>
      <c r="J51" s="325"/>
      <c r="K51" s="330"/>
      <c r="L51" s="270" t="e">
        <f t="shared" si="4"/>
        <v>#DIV/0!</v>
      </c>
      <c r="M51" s="327"/>
      <c r="N51" s="328" t="e">
        <f t="shared" si="5"/>
        <v>#DIV/0!</v>
      </c>
    </row>
    <row r="52" spans="1:14">
      <c r="A52" s="323">
        <v>16</v>
      </c>
      <c r="B52" s="324"/>
      <c r="C52" s="325"/>
      <c r="D52" s="326"/>
      <c r="E52" s="270" t="e">
        <f t="shared" si="7"/>
        <v>#DIV/0!</v>
      </c>
      <c r="F52" s="327"/>
      <c r="G52" s="328" t="e">
        <f t="shared" si="8"/>
        <v>#DIV/0!</v>
      </c>
      <c r="H52" s="329">
        <v>59</v>
      </c>
      <c r="I52" s="324"/>
      <c r="J52" s="325"/>
      <c r="K52" s="330"/>
      <c r="L52" s="270" t="e">
        <f t="shared" si="4"/>
        <v>#DIV/0!</v>
      </c>
      <c r="M52" s="327"/>
      <c r="N52" s="328" t="e">
        <f t="shared" si="5"/>
        <v>#DIV/0!</v>
      </c>
    </row>
    <row r="53" spans="1:14">
      <c r="A53" s="323">
        <v>17</v>
      </c>
      <c r="B53" s="324"/>
      <c r="C53" s="325"/>
      <c r="D53" s="326"/>
      <c r="E53" s="270" t="e">
        <f t="shared" si="7"/>
        <v>#DIV/0!</v>
      </c>
      <c r="F53" s="327"/>
      <c r="G53" s="328" t="e">
        <f t="shared" si="8"/>
        <v>#DIV/0!</v>
      </c>
      <c r="H53" s="329">
        <v>60</v>
      </c>
      <c r="I53" s="324"/>
      <c r="J53" s="325"/>
      <c r="K53" s="330"/>
      <c r="L53" s="270" t="e">
        <f t="shared" si="4"/>
        <v>#DIV/0!</v>
      </c>
      <c r="M53" s="327"/>
      <c r="N53" s="328" t="e">
        <f t="shared" si="5"/>
        <v>#DIV/0!</v>
      </c>
    </row>
    <row r="54" spans="1:14">
      <c r="A54" s="323">
        <v>18</v>
      </c>
      <c r="B54" s="324"/>
      <c r="C54" s="325"/>
      <c r="D54" s="326"/>
      <c r="E54" s="270" t="e">
        <f t="shared" si="7"/>
        <v>#DIV/0!</v>
      </c>
      <c r="F54" s="327"/>
      <c r="G54" s="328" t="e">
        <f t="shared" si="8"/>
        <v>#DIV/0!</v>
      </c>
      <c r="H54" s="329">
        <v>61</v>
      </c>
      <c r="I54" s="324"/>
      <c r="J54" s="325"/>
      <c r="K54" s="330"/>
      <c r="L54" s="270" t="e">
        <f t="shared" si="4"/>
        <v>#DIV/0!</v>
      </c>
      <c r="M54" s="327"/>
      <c r="N54" s="328" t="e">
        <f t="shared" si="5"/>
        <v>#DIV/0!</v>
      </c>
    </row>
    <row r="55" spans="1:14">
      <c r="A55" s="323">
        <v>19</v>
      </c>
      <c r="B55" s="324"/>
      <c r="C55" s="325"/>
      <c r="D55" s="326"/>
      <c r="E55" s="270" t="e">
        <f t="shared" si="7"/>
        <v>#DIV/0!</v>
      </c>
      <c r="F55" s="327"/>
      <c r="G55" s="328" t="e">
        <f t="shared" si="8"/>
        <v>#DIV/0!</v>
      </c>
      <c r="H55" s="329">
        <v>62</v>
      </c>
      <c r="I55" s="324"/>
      <c r="J55" s="325"/>
      <c r="K55" s="330"/>
      <c r="L55" s="270" t="e">
        <f t="shared" si="4"/>
        <v>#DIV/0!</v>
      </c>
      <c r="M55" s="327"/>
      <c r="N55" s="328" t="e">
        <f t="shared" si="5"/>
        <v>#DIV/0!</v>
      </c>
    </row>
    <row r="56" spans="1:14">
      <c r="A56" s="323">
        <v>20</v>
      </c>
      <c r="B56" s="324"/>
      <c r="C56" s="325"/>
      <c r="D56" s="326"/>
      <c r="E56" s="270" t="e">
        <f t="shared" si="7"/>
        <v>#DIV/0!</v>
      </c>
      <c r="F56" s="327"/>
      <c r="G56" s="328" t="e">
        <f t="shared" si="8"/>
        <v>#DIV/0!</v>
      </c>
      <c r="H56" s="329">
        <v>63</v>
      </c>
      <c r="I56" s="324"/>
      <c r="J56" s="325"/>
      <c r="K56" s="330"/>
      <c r="L56" s="270" t="e">
        <f t="shared" si="4"/>
        <v>#DIV/0!</v>
      </c>
      <c r="M56" s="327"/>
      <c r="N56" s="328" t="e">
        <f t="shared" si="5"/>
        <v>#DIV/0!</v>
      </c>
    </row>
    <row r="57" spans="1:14" ht="13.8" thickBot="1">
      <c r="A57" s="323">
        <v>21</v>
      </c>
      <c r="B57" s="324"/>
      <c r="C57" s="325"/>
      <c r="D57" s="326"/>
      <c r="E57" s="270" t="e">
        <f t="shared" si="7"/>
        <v>#DIV/0!</v>
      </c>
      <c r="F57" s="327"/>
      <c r="G57" s="328" t="e">
        <f t="shared" si="8"/>
        <v>#DIV/0!</v>
      </c>
      <c r="H57" s="329">
        <v>64</v>
      </c>
      <c r="I57" s="324"/>
      <c r="J57" s="325"/>
      <c r="K57" s="330"/>
      <c r="L57" s="270" t="e">
        <f t="shared" si="4"/>
        <v>#DIV/0!</v>
      </c>
      <c r="M57" s="327"/>
      <c r="N57" s="328" t="e">
        <f t="shared" si="5"/>
        <v>#DIV/0!</v>
      </c>
    </row>
    <row r="58" spans="1:14" ht="13.8" thickBot="1">
      <c r="A58" s="1492" t="s">
        <v>316</v>
      </c>
      <c r="B58" s="1493"/>
      <c r="C58" s="1493"/>
      <c r="D58" s="1493"/>
      <c r="E58" s="1494"/>
      <c r="F58" s="336">
        <f>SUM(F37:F57)</f>
        <v>0</v>
      </c>
      <c r="G58" s="338">
        <f>IF(F58=0,0,SUM(G37:G57))</f>
        <v>0</v>
      </c>
      <c r="H58" s="1490" t="s">
        <v>317</v>
      </c>
      <c r="I58" s="1490"/>
      <c r="J58" s="1490"/>
      <c r="K58" s="1490"/>
      <c r="L58" s="1491"/>
      <c r="M58" s="336">
        <f>SUM(M15:M57)+F58</f>
        <v>0</v>
      </c>
      <c r="N58" s="337">
        <f>IF(M58=0,G58,(SUM(N15:N57)+G58))</f>
        <v>0</v>
      </c>
    </row>
    <row r="59" spans="1:14">
      <c r="F59" s="339"/>
      <c r="G59" s="339"/>
    </row>
    <row r="60" spans="1:14">
      <c r="F60" s="339"/>
      <c r="G60" s="339"/>
    </row>
    <row r="61" spans="1:14">
      <c r="F61" s="339"/>
      <c r="G61" s="339"/>
    </row>
    <row r="62" spans="1:14">
      <c r="F62" s="340"/>
    </row>
    <row r="63" spans="1:14">
      <c r="F63" s="340"/>
    </row>
    <row r="64" spans="1:14">
      <c r="F64" s="340"/>
    </row>
    <row r="65" spans="6:6">
      <c r="F65" s="340"/>
    </row>
    <row r="66" spans="6:6">
      <c r="F66" s="340"/>
    </row>
    <row r="67" spans="6:6">
      <c r="F67" s="340"/>
    </row>
    <row r="68" spans="6:6">
      <c r="F68" s="340"/>
    </row>
    <row r="69" spans="6:6">
      <c r="F69" s="340"/>
    </row>
    <row r="70" spans="6:6">
      <c r="F70" s="340"/>
    </row>
    <row r="71" spans="6:6">
      <c r="F71" s="340"/>
    </row>
    <row r="72" spans="6:6">
      <c r="F72" s="340"/>
    </row>
    <row r="73" spans="6:6">
      <c r="F73" s="340"/>
    </row>
    <row r="74" spans="6:6">
      <c r="F74" s="340"/>
    </row>
    <row r="75" spans="6:6">
      <c r="F75" s="340"/>
    </row>
    <row r="76" spans="6:6">
      <c r="F76" s="340"/>
    </row>
    <row r="77" spans="6:6">
      <c r="F77" s="340"/>
    </row>
    <row r="78" spans="6:6">
      <c r="F78" s="340"/>
    </row>
    <row r="79" spans="6:6">
      <c r="F79" s="340"/>
    </row>
    <row r="80" spans="6:6">
      <c r="F80" s="340"/>
    </row>
    <row r="81" spans="6:6">
      <c r="F81" s="340"/>
    </row>
    <row r="82" spans="6:6">
      <c r="F82" s="340"/>
    </row>
    <row r="83" spans="6:6">
      <c r="F83" s="340"/>
    </row>
    <row r="84" spans="6:6">
      <c r="F84" s="340"/>
    </row>
    <row r="85" spans="6:6">
      <c r="F85" s="340"/>
    </row>
    <row r="86" spans="6:6">
      <c r="F86" s="340"/>
    </row>
    <row r="87" spans="6:6">
      <c r="F87" s="340"/>
    </row>
    <row r="88" spans="6:6">
      <c r="F88" s="340"/>
    </row>
    <row r="89" spans="6:6">
      <c r="F89" s="340"/>
    </row>
    <row r="90" spans="6:6">
      <c r="F90" s="340"/>
    </row>
    <row r="91" spans="6:6">
      <c r="F91" s="340"/>
    </row>
    <row r="92" spans="6:6">
      <c r="F92" s="340"/>
    </row>
    <row r="93" spans="6:6">
      <c r="F93" s="340"/>
    </row>
  </sheetData>
  <mergeCells count="15">
    <mergeCell ref="A35:E35"/>
    <mergeCell ref="A58:E58"/>
    <mergeCell ref="H58:L58"/>
    <mergeCell ref="H8:I8"/>
    <mergeCell ref="J8:L8"/>
    <mergeCell ref="H9:I9"/>
    <mergeCell ref="J9:M9"/>
    <mergeCell ref="H10:I10"/>
    <mergeCell ref="H11:I11"/>
    <mergeCell ref="A6:N6"/>
    <mergeCell ref="E3:F3"/>
    <mergeCell ref="G3:H3"/>
    <mergeCell ref="I3:L3"/>
    <mergeCell ref="M3:N3"/>
    <mergeCell ref="A4:B4"/>
  </mergeCells>
  <pageMargins left="0.39370078740157483" right="0.35433070866141736" top="0.59055118110236227" bottom="0.11811023622047245" header="0.51181102362204722" footer="0.51181102362204722"/>
  <pageSetup paperSize="9" scale="69" orientation="portrait" blackAndWhite="1" r:id="rId1"/>
  <headerFooter alignWithMargins="0">
    <oddHeader>&amp;L&amp;"Calibri"&amp;10&amp;K000000 Sensitivity - General&amp;1#_x000D_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7">
    <tabColor rgb="FF0070C0"/>
    <pageSetUpPr fitToPage="1"/>
  </sheetPr>
  <dimension ref="A1:N32"/>
  <sheetViews>
    <sheetView zoomScale="120" zoomScaleNormal="120" workbookViewId="0">
      <selection sqref="A1:H1"/>
    </sheetView>
  </sheetViews>
  <sheetFormatPr defaultRowHeight="13.2"/>
  <cols>
    <col min="1" max="1" width="9.109375" style="10"/>
    <col min="2" max="2" width="36.88671875" style="10" customWidth="1"/>
    <col min="3" max="3" width="15.109375" style="10" customWidth="1"/>
    <col min="4" max="8" width="11.6640625" style="10" customWidth="1"/>
    <col min="9" max="9" width="12.44140625" style="10" customWidth="1"/>
    <col min="10" max="10" width="15.77734375" style="10" customWidth="1"/>
    <col min="11" max="11" width="14.88671875" style="10" customWidth="1"/>
    <col min="12" max="12" width="15" style="10" customWidth="1"/>
    <col min="13" max="13" width="16.44140625" style="10" bestFit="1" customWidth="1"/>
    <col min="14" max="14" width="18" style="10" customWidth="1"/>
    <col min="15" max="257" width="9.109375" style="10"/>
    <col min="258" max="258" width="36.88671875" style="10" customWidth="1"/>
    <col min="259" max="259" width="9.109375" style="10"/>
    <col min="260" max="260" width="10.109375" style="10" bestFit="1" customWidth="1"/>
    <col min="261" max="261" width="10.6640625" style="10" bestFit="1" customWidth="1"/>
    <col min="262" max="262" width="11.44140625" style="10" bestFit="1" customWidth="1"/>
    <col min="263" max="263" width="12.6640625" style="10" bestFit="1" customWidth="1"/>
    <col min="264" max="264" width="12.44140625" style="10" bestFit="1" customWidth="1"/>
    <col min="265" max="265" width="10.6640625" style="10" bestFit="1" customWidth="1"/>
    <col min="266" max="266" width="19.109375" style="10" bestFit="1" customWidth="1"/>
    <col min="267" max="267" width="17.5546875" style="10" bestFit="1" customWidth="1"/>
    <col min="268" max="268" width="15" style="10" customWidth="1"/>
    <col min="269" max="269" width="16.44140625" style="10" bestFit="1" customWidth="1"/>
    <col min="270" max="270" width="18" style="10" customWidth="1"/>
    <col min="271" max="513" width="9.109375" style="10"/>
    <col min="514" max="514" width="36.88671875" style="10" customWidth="1"/>
    <col min="515" max="515" width="9.109375" style="10"/>
    <col min="516" max="516" width="10.109375" style="10" bestFit="1" customWidth="1"/>
    <col min="517" max="517" width="10.6640625" style="10" bestFit="1" customWidth="1"/>
    <col min="518" max="518" width="11.44140625" style="10" bestFit="1" customWidth="1"/>
    <col min="519" max="519" width="12.6640625" style="10" bestFit="1" customWidth="1"/>
    <col min="520" max="520" width="12.44140625" style="10" bestFit="1" customWidth="1"/>
    <col min="521" max="521" width="10.6640625" style="10" bestFit="1" customWidth="1"/>
    <col min="522" max="522" width="19.109375" style="10" bestFit="1" customWidth="1"/>
    <col min="523" max="523" width="17.5546875" style="10" bestFit="1" customWidth="1"/>
    <col min="524" max="524" width="15" style="10" customWidth="1"/>
    <col min="525" max="525" width="16.44140625" style="10" bestFit="1" customWidth="1"/>
    <col min="526" max="526" width="18" style="10" customWidth="1"/>
    <col min="527" max="769" width="9.109375" style="10"/>
    <col min="770" max="770" width="36.88671875" style="10" customWidth="1"/>
    <col min="771" max="771" width="9.109375" style="10"/>
    <col min="772" max="772" width="10.109375" style="10" bestFit="1" customWidth="1"/>
    <col min="773" max="773" width="10.6640625" style="10" bestFit="1" customWidth="1"/>
    <col min="774" max="774" width="11.44140625" style="10" bestFit="1" customWidth="1"/>
    <col min="775" max="775" width="12.6640625" style="10" bestFit="1" customWidth="1"/>
    <col min="776" max="776" width="12.44140625" style="10" bestFit="1" customWidth="1"/>
    <col min="777" max="777" width="10.6640625" style="10" bestFit="1" customWidth="1"/>
    <col min="778" max="778" width="19.109375" style="10" bestFit="1" customWidth="1"/>
    <col min="779" max="779" width="17.5546875" style="10" bestFit="1" customWidth="1"/>
    <col min="780" max="780" width="15" style="10" customWidth="1"/>
    <col min="781" max="781" width="16.44140625" style="10" bestFit="1" customWidth="1"/>
    <col min="782" max="782" width="18" style="10" customWidth="1"/>
    <col min="783" max="1025" width="9.109375" style="10"/>
    <col min="1026" max="1026" width="36.88671875" style="10" customWidth="1"/>
    <col min="1027" max="1027" width="9.109375" style="10"/>
    <col min="1028" max="1028" width="10.109375" style="10" bestFit="1" customWidth="1"/>
    <col min="1029" max="1029" width="10.6640625" style="10" bestFit="1" customWidth="1"/>
    <col min="1030" max="1030" width="11.44140625" style="10" bestFit="1" customWidth="1"/>
    <col min="1031" max="1031" width="12.6640625" style="10" bestFit="1" customWidth="1"/>
    <col min="1032" max="1032" width="12.44140625" style="10" bestFit="1" customWidth="1"/>
    <col min="1033" max="1033" width="10.6640625" style="10" bestFit="1" customWidth="1"/>
    <col min="1034" max="1034" width="19.109375" style="10" bestFit="1" customWidth="1"/>
    <col min="1035" max="1035" width="17.5546875" style="10" bestFit="1" customWidth="1"/>
    <col min="1036" max="1036" width="15" style="10" customWidth="1"/>
    <col min="1037" max="1037" width="16.44140625" style="10" bestFit="1" customWidth="1"/>
    <col min="1038" max="1038" width="18" style="10" customWidth="1"/>
    <col min="1039" max="1281" width="9.109375" style="10"/>
    <col min="1282" max="1282" width="36.88671875" style="10" customWidth="1"/>
    <col min="1283" max="1283" width="9.109375" style="10"/>
    <col min="1284" max="1284" width="10.109375" style="10" bestFit="1" customWidth="1"/>
    <col min="1285" max="1285" width="10.6640625" style="10" bestFit="1" customWidth="1"/>
    <col min="1286" max="1286" width="11.44140625" style="10" bestFit="1" customWidth="1"/>
    <col min="1287" max="1287" width="12.6640625" style="10" bestFit="1" customWidth="1"/>
    <col min="1288" max="1288" width="12.44140625" style="10" bestFit="1" customWidth="1"/>
    <col min="1289" max="1289" width="10.6640625" style="10" bestFit="1" customWidth="1"/>
    <col min="1290" max="1290" width="19.109375" style="10" bestFit="1" customWidth="1"/>
    <col min="1291" max="1291" width="17.5546875" style="10" bestFit="1" customWidth="1"/>
    <col min="1292" max="1292" width="15" style="10" customWidth="1"/>
    <col min="1293" max="1293" width="16.44140625" style="10" bestFit="1" customWidth="1"/>
    <col min="1294" max="1294" width="18" style="10" customWidth="1"/>
    <col min="1295" max="1537" width="9.109375" style="10"/>
    <col min="1538" max="1538" width="36.88671875" style="10" customWidth="1"/>
    <col min="1539" max="1539" width="9.109375" style="10"/>
    <col min="1540" max="1540" width="10.109375" style="10" bestFit="1" customWidth="1"/>
    <col min="1541" max="1541" width="10.6640625" style="10" bestFit="1" customWidth="1"/>
    <col min="1542" max="1542" width="11.44140625" style="10" bestFit="1" customWidth="1"/>
    <col min="1543" max="1543" width="12.6640625" style="10" bestFit="1" customWidth="1"/>
    <col min="1544" max="1544" width="12.44140625" style="10" bestFit="1" customWidth="1"/>
    <col min="1545" max="1545" width="10.6640625" style="10" bestFit="1" customWidth="1"/>
    <col min="1546" max="1546" width="19.109375" style="10" bestFit="1" customWidth="1"/>
    <col min="1547" max="1547" width="17.5546875" style="10" bestFit="1" customWidth="1"/>
    <col min="1548" max="1548" width="15" style="10" customWidth="1"/>
    <col min="1549" max="1549" width="16.44140625" style="10" bestFit="1" customWidth="1"/>
    <col min="1550" max="1550" width="18" style="10" customWidth="1"/>
    <col min="1551" max="1793" width="9.109375" style="10"/>
    <col min="1794" max="1794" width="36.88671875" style="10" customWidth="1"/>
    <col min="1795" max="1795" width="9.109375" style="10"/>
    <col min="1796" max="1796" width="10.109375" style="10" bestFit="1" customWidth="1"/>
    <col min="1797" max="1797" width="10.6640625" style="10" bestFit="1" customWidth="1"/>
    <col min="1798" max="1798" width="11.44140625" style="10" bestFit="1" customWidth="1"/>
    <col min="1799" max="1799" width="12.6640625" style="10" bestFit="1" customWidth="1"/>
    <col min="1800" max="1800" width="12.44140625" style="10" bestFit="1" customWidth="1"/>
    <col min="1801" max="1801" width="10.6640625" style="10" bestFit="1" customWidth="1"/>
    <col min="1802" max="1802" width="19.109375" style="10" bestFit="1" customWidth="1"/>
    <col min="1803" max="1803" width="17.5546875" style="10" bestFit="1" customWidth="1"/>
    <col min="1804" max="1804" width="15" style="10" customWidth="1"/>
    <col min="1805" max="1805" width="16.44140625" style="10" bestFit="1" customWidth="1"/>
    <col min="1806" max="1806" width="18" style="10" customWidth="1"/>
    <col min="1807" max="2049" width="9.109375" style="10"/>
    <col min="2050" max="2050" width="36.88671875" style="10" customWidth="1"/>
    <col min="2051" max="2051" width="9.109375" style="10"/>
    <col min="2052" max="2052" width="10.109375" style="10" bestFit="1" customWidth="1"/>
    <col min="2053" max="2053" width="10.6640625" style="10" bestFit="1" customWidth="1"/>
    <col min="2054" max="2054" width="11.44140625" style="10" bestFit="1" customWidth="1"/>
    <col min="2055" max="2055" width="12.6640625" style="10" bestFit="1" customWidth="1"/>
    <col min="2056" max="2056" width="12.44140625" style="10" bestFit="1" customWidth="1"/>
    <col min="2057" max="2057" width="10.6640625" style="10" bestFit="1" customWidth="1"/>
    <col min="2058" max="2058" width="19.109375" style="10" bestFit="1" customWidth="1"/>
    <col min="2059" max="2059" width="17.5546875" style="10" bestFit="1" customWidth="1"/>
    <col min="2060" max="2060" width="15" style="10" customWidth="1"/>
    <col min="2061" max="2061" width="16.44140625" style="10" bestFit="1" customWidth="1"/>
    <col min="2062" max="2062" width="18" style="10" customWidth="1"/>
    <col min="2063" max="2305" width="9.109375" style="10"/>
    <col min="2306" max="2306" width="36.88671875" style="10" customWidth="1"/>
    <col min="2307" max="2307" width="9.109375" style="10"/>
    <col min="2308" max="2308" width="10.109375" style="10" bestFit="1" customWidth="1"/>
    <col min="2309" max="2309" width="10.6640625" style="10" bestFit="1" customWidth="1"/>
    <col min="2310" max="2310" width="11.44140625" style="10" bestFit="1" customWidth="1"/>
    <col min="2311" max="2311" width="12.6640625" style="10" bestFit="1" customWidth="1"/>
    <col min="2312" max="2312" width="12.44140625" style="10" bestFit="1" customWidth="1"/>
    <col min="2313" max="2313" width="10.6640625" style="10" bestFit="1" customWidth="1"/>
    <col min="2314" max="2314" width="19.109375" style="10" bestFit="1" customWidth="1"/>
    <col min="2315" max="2315" width="17.5546875" style="10" bestFit="1" customWidth="1"/>
    <col min="2316" max="2316" width="15" style="10" customWidth="1"/>
    <col min="2317" max="2317" width="16.44140625" style="10" bestFit="1" customWidth="1"/>
    <col min="2318" max="2318" width="18" style="10" customWidth="1"/>
    <col min="2319" max="2561" width="9.109375" style="10"/>
    <col min="2562" max="2562" width="36.88671875" style="10" customWidth="1"/>
    <col min="2563" max="2563" width="9.109375" style="10"/>
    <col min="2564" max="2564" width="10.109375" style="10" bestFit="1" customWidth="1"/>
    <col min="2565" max="2565" width="10.6640625" style="10" bestFit="1" customWidth="1"/>
    <col min="2566" max="2566" width="11.44140625" style="10" bestFit="1" customWidth="1"/>
    <col min="2567" max="2567" width="12.6640625" style="10" bestFit="1" customWidth="1"/>
    <col min="2568" max="2568" width="12.44140625" style="10" bestFit="1" customWidth="1"/>
    <col min="2569" max="2569" width="10.6640625" style="10" bestFit="1" customWidth="1"/>
    <col min="2570" max="2570" width="19.109375" style="10" bestFit="1" customWidth="1"/>
    <col min="2571" max="2571" width="17.5546875" style="10" bestFit="1" customWidth="1"/>
    <col min="2572" max="2572" width="15" style="10" customWidth="1"/>
    <col min="2573" max="2573" width="16.44140625" style="10" bestFit="1" customWidth="1"/>
    <col min="2574" max="2574" width="18" style="10" customWidth="1"/>
    <col min="2575" max="2817" width="9.109375" style="10"/>
    <col min="2818" max="2818" width="36.88671875" style="10" customWidth="1"/>
    <col min="2819" max="2819" width="9.109375" style="10"/>
    <col min="2820" max="2820" width="10.109375" style="10" bestFit="1" customWidth="1"/>
    <col min="2821" max="2821" width="10.6640625" style="10" bestFit="1" customWidth="1"/>
    <col min="2822" max="2822" width="11.44140625" style="10" bestFit="1" customWidth="1"/>
    <col min="2823" max="2823" width="12.6640625" style="10" bestFit="1" customWidth="1"/>
    <col min="2824" max="2824" width="12.44140625" style="10" bestFit="1" customWidth="1"/>
    <col min="2825" max="2825" width="10.6640625" style="10" bestFit="1" customWidth="1"/>
    <col min="2826" max="2826" width="19.109375" style="10" bestFit="1" customWidth="1"/>
    <col min="2827" max="2827" width="17.5546875" style="10" bestFit="1" customWidth="1"/>
    <col min="2828" max="2828" width="15" style="10" customWidth="1"/>
    <col min="2829" max="2829" width="16.44140625" style="10" bestFit="1" customWidth="1"/>
    <col min="2830" max="2830" width="18" style="10" customWidth="1"/>
    <col min="2831" max="3073" width="9.109375" style="10"/>
    <col min="3074" max="3074" width="36.88671875" style="10" customWidth="1"/>
    <col min="3075" max="3075" width="9.109375" style="10"/>
    <col min="3076" max="3076" width="10.109375" style="10" bestFit="1" customWidth="1"/>
    <col min="3077" max="3077" width="10.6640625" style="10" bestFit="1" customWidth="1"/>
    <col min="3078" max="3078" width="11.44140625" style="10" bestFit="1" customWidth="1"/>
    <col min="3079" max="3079" width="12.6640625" style="10" bestFit="1" customWidth="1"/>
    <col min="3080" max="3080" width="12.44140625" style="10" bestFit="1" customWidth="1"/>
    <col min="3081" max="3081" width="10.6640625" style="10" bestFit="1" customWidth="1"/>
    <col min="3082" max="3082" width="19.109375" style="10" bestFit="1" customWidth="1"/>
    <col min="3083" max="3083" width="17.5546875" style="10" bestFit="1" customWidth="1"/>
    <col min="3084" max="3084" width="15" style="10" customWidth="1"/>
    <col min="3085" max="3085" width="16.44140625" style="10" bestFit="1" customWidth="1"/>
    <col min="3086" max="3086" width="18" style="10" customWidth="1"/>
    <col min="3087" max="3329" width="9.109375" style="10"/>
    <col min="3330" max="3330" width="36.88671875" style="10" customWidth="1"/>
    <col min="3331" max="3331" width="9.109375" style="10"/>
    <col min="3332" max="3332" width="10.109375" style="10" bestFit="1" customWidth="1"/>
    <col min="3333" max="3333" width="10.6640625" style="10" bestFit="1" customWidth="1"/>
    <col min="3334" max="3334" width="11.44140625" style="10" bestFit="1" customWidth="1"/>
    <col min="3335" max="3335" width="12.6640625" style="10" bestFit="1" customWidth="1"/>
    <col min="3336" max="3336" width="12.44140625" style="10" bestFit="1" customWidth="1"/>
    <col min="3337" max="3337" width="10.6640625" style="10" bestFit="1" customWidth="1"/>
    <col min="3338" max="3338" width="19.109375" style="10" bestFit="1" customWidth="1"/>
    <col min="3339" max="3339" width="17.5546875" style="10" bestFit="1" customWidth="1"/>
    <col min="3340" max="3340" width="15" style="10" customWidth="1"/>
    <col min="3341" max="3341" width="16.44140625" style="10" bestFit="1" customWidth="1"/>
    <col min="3342" max="3342" width="18" style="10" customWidth="1"/>
    <col min="3343" max="3585" width="9.109375" style="10"/>
    <col min="3586" max="3586" width="36.88671875" style="10" customWidth="1"/>
    <col min="3587" max="3587" width="9.109375" style="10"/>
    <col min="3588" max="3588" width="10.109375" style="10" bestFit="1" customWidth="1"/>
    <col min="3589" max="3589" width="10.6640625" style="10" bestFit="1" customWidth="1"/>
    <col min="3590" max="3590" width="11.44140625" style="10" bestFit="1" customWidth="1"/>
    <col min="3591" max="3591" width="12.6640625" style="10" bestFit="1" customWidth="1"/>
    <col min="3592" max="3592" width="12.44140625" style="10" bestFit="1" customWidth="1"/>
    <col min="3593" max="3593" width="10.6640625" style="10" bestFit="1" customWidth="1"/>
    <col min="3594" max="3594" width="19.109375" style="10" bestFit="1" customWidth="1"/>
    <col min="3595" max="3595" width="17.5546875" style="10" bestFit="1" customWidth="1"/>
    <col min="3596" max="3596" width="15" style="10" customWidth="1"/>
    <col min="3597" max="3597" width="16.44140625" style="10" bestFit="1" customWidth="1"/>
    <col min="3598" max="3598" width="18" style="10" customWidth="1"/>
    <col min="3599" max="3841" width="9.109375" style="10"/>
    <col min="3842" max="3842" width="36.88671875" style="10" customWidth="1"/>
    <col min="3843" max="3843" width="9.109375" style="10"/>
    <col min="3844" max="3844" width="10.109375" style="10" bestFit="1" customWidth="1"/>
    <col min="3845" max="3845" width="10.6640625" style="10" bestFit="1" customWidth="1"/>
    <col min="3846" max="3846" width="11.44140625" style="10" bestFit="1" customWidth="1"/>
    <col min="3847" max="3847" width="12.6640625" style="10" bestFit="1" customWidth="1"/>
    <col min="3848" max="3848" width="12.44140625" style="10" bestFit="1" customWidth="1"/>
    <col min="3849" max="3849" width="10.6640625" style="10" bestFit="1" customWidth="1"/>
    <col min="3850" max="3850" width="19.109375" style="10" bestFit="1" customWidth="1"/>
    <col min="3851" max="3851" width="17.5546875" style="10" bestFit="1" customWidth="1"/>
    <col min="3852" max="3852" width="15" style="10" customWidth="1"/>
    <col min="3853" max="3853" width="16.44140625" style="10" bestFit="1" customWidth="1"/>
    <col min="3854" max="3854" width="18" style="10" customWidth="1"/>
    <col min="3855" max="4097" width="9.109375" style="10"/>
    <col min="4098" max="4098" width="36.88671875" style="10" customWidth="1"/>
    <col min="4099" max="4099" width="9.109375" style="10"/>
    <col min="4100" max="4100" width="10.109375" style="10" bestFit="1" customWidth="1"/>
    <col min="4101" max="4101" width="10.6640625" style="10" bestFit="1" customWidth="1"/>
    <col min="4102" max="4102" width="11.44140625" style="10" bestFit="1" customWidth="1"/>
    <col min="4103" max="4103" width="12.6640625" style="10" bestFit="1" customWidth="1"/>
    <col min="4104" max="4104" width="12.44140625" style="10" bestFit="1" customWidth="1"/>
    <col min="4105" max="4105" width="10.6640625" style="10" bestFit="1" customWidth="1"/>
    <col min="4106" max="4106" width="19.109375" style="10" bestFit="1" customWidth="1"/>
    <col min="4107" max="4107" width="17.5546875" style="10" bestFit="1" customWidth="1"/>
    <col min="4108" max="4108" width="15" style="10" customWidth="1"/>
    <col min="4109" max="4109" width="16.44140625" style="10" bestFit="1" customWidth="1"/>
    <col min="4110" max="4110" width="18" style="10" customWidth="1"/>
    <col min="4111" max="4353" width="9.109375" style="10"/>
    <col min="4354" max="4354" width="36.88671875" style="10" customWidth="1"/>
    <col min="4355" max="4355" width="9.109375" style="10"/>
    <col min="4356" max="4356" width="10.109375" style="10" bestFit="1" customWidth="1"/>
    <col min="4357" max="4357" width="10.6640625" style="10" bestFit="1" customWidth="1"/>
    <col min="4358" max="4358" width="11.44140625" style="10" bestFit="1" customWidth="1"/>
    <col min="4359" max="4359" width="12.6640625" style="10" bestFit="1" customWidth="1"/>
    <col min="4360" max="4360" width="12.44140625" style="10" bestFit="1" customWidth="1"/>
    <col min="4361" max="4361" width="10.6640625" style="10" bestFit="1" customWidth="1"/>
    <col min="4362" max="4362" width="19.109375" style="10" bestFit="1" customWidth="1"/>
    <col min="4363" max="4363" width="17.5546875" style="10" bestFit="1" customWidth="1"/>
    <col min="4364" max="4364" width="15" style="10" customWidth="1"/>
    <col min="4365" max="4365" width="16.44140625" style="10" bestFit="1" customWidth="1"/>
    <col min="4366" max="4366" width="18" style="10" customWidth="1"/>
    <col min="4367" max="4609" width="9.109375" style="10"/>
    <col min="4610" max="4610" width="36.88671875" style="10" customWidth="1"/>
    <col min="4611" max="4611" width="9.109375" style="10"/>
    <col min="4612" max="4612" width="10.109375" style="10" bestFit="1" customWidth="1"/>
    <col min="4613" max="4613" width="10.6640625" style="10" bestFit="1" customWidth="1"/>
    <col min="4614" max="4614" width="11.44140625" style="10" bestFit="1" customWidth="1"/>
    <col min="4615" max="4615" width="12.6640625" style="10" bestFit="1" customWidth="1"/>
    <col min="4616" max="4616" width="12.44140625" style="10" bestFit="1" customWidth="1"/>
    <col min="4617" max="4617" width="10.6640625" style="10" bestFit="1" customWidth="1"/>
    <col min="4618" max="4618" width="19.109375" style="10" bestFit="1" customWidth="1"/>
    <col min="4619" max="4619" width="17.5546875" style="10" bestFit="1" customWidth="1"/>
    <col min="4620" max="4620" width="15" style="10" customWidth="1"/>
    <col min="4621" max="4621" width="16.44140625" style="10" bestFit="1" customWidth="1"/>
    <col min="4622" max="4622" width="18" style="10" customWidth="1"/>
    <col min="4623" max="4865" width="9.109375" style="10"/>
    <col min="4866" max="4866" width="36.88671875" style="10" customWidth="1"/>
    <col min="4867" max="4867" width="9.109375" style="10"/>
    <col min="4868" max="4868" width="10.109375" style="10" bestFit="1" customWidth="1"/>
    <col min="4869" max="4869" width="10.6640625" style="10" bestFit="1" customWidth="1"/>
    <col min="4870" max="4870" width="11.44140625" style="10" bestFit="1" customWidth="1"/>
    <col min="4871" max="4871" width="12.6640625" style="10" bestFit="1" customWidth="1"/>
    <col min="4872" max="4872" width="12.44140625" style="10" bestFit="1" customWidth="1"/>
    <col min="4873" max="4873" width="10.6640625" style="10" bestFit="1" customWidth="1"/>
    <col min="4874" max="4874" width="19.109375" style="10" bestFit="1" customWidth="1"/>
    <col min="4875" max="4875" width="17.5546875" style="10" bestFit="1" customWidth="1"/>
    <col min="4876" max="4876" width="15" style="10" customWidth="1"/>
    <col min="4877" max="4877" width="16.44140625" style="10" bestFit="1" customWidth="1"/>
    <col min="4878" max="4878" width="18" style="10" customWidth="1"/>
    <col min="4879" max="5121" width="9.109375" style="10"/>
    <col min="5122" max="5122" width="36.88671875" style="10" customWidth="1"/>
    <col min="5123" max="5123" width="9.109375" style="10"/>
    <col min="5124" max="5124" width="10.109375" style="10" bestFit="1" customWidth="1"/>
    <col min="5125" max="5125" width="10.6640625" style="10" bestFit="1" customWidth="1"/>
    <col min="5126" max="5126" width="11.44140625" style="10" bestFit="1" customWidth="1"/>
    <col min="5127" max="5127" width="12.6640625" style="10" bestFit="1" customWidth="1"/>
    <col min="5128" max="5128" width="12.44140625" style="10" bestFit="1" customWidth="1"/>
    <col min="5129" max="5129" width="10.6640625" style="10" bestFit="1" customWidth="1"/>
    <col min="5130" max="5130" width="19.109375" style="10" bestFit="1" customWidth="1"/>
    <col min="5131" max="5131" width="17.5546875" style="10" bestFit="1" customWidth="1"/>
    <col min="5132" max="5132" width="15" style="10" customWidth="1"/>
    <col min="5133" max="5133" width="16.44140625" style="10" bestFit="1" customWidth="1"/>
    <col min="5134" max="5134" width="18" style="10" customWidth="1"/>
    <col min="5135" max="5377" width="9.109375" style="10"/>
    <col min="5378" max="5378" width="36.88671875" style="10" customWidth="1"/>
    <col min="5379" max="5379" width="9.109375" style="10"/>
    <col min="5380" max="5380" width="10.109375" style="10" bestFit="1" customWidth="1"/>
    <col min="5381" max="5381" width="10.6640625" style="10" bestFit="1" customWidth="1"/>
    <col min="5382" max="5382" width="11.44140625" style="10" bestFit="1" customWidth="1"/>
    <col min="5383" max="5383" width="12.6640625" style="10" bestFit="1" customWidth="1"/>
    <col min="5384" max="5384" width="12.44140625" style="10" bestFit="1" customWidth="1"/>
    <col min="5385" max="5385" width="10.6640625" style="10" bestFit="1" customWidth="1"/>
    <col min="5386" max="5386" width="19.109375" style="10" bestFit="1" customWidth="1"/>
    <col min="5387" max="5387" width="17.5546875" style="10" bestFit="1" customWidth="1"/>
    <col min="5388" max="5388" width="15" style="10" customWidth="1"/>
    <col min="5389" max="5389" width="16.44140625" style="10" bestFit="1" customWidth="1"/>
    <col min="5390" max="5390" width="18" style="10" customWidth="1"/>
    <col min="5391" max="5633" width="9.109375" style="10"/>
    <col min="5634" max="5634" width="36.88671875" style="10" customWidth="1"/>
    <col min="5635" max="5635" width="9.109375" style="10"/>
    <col min="5636" max="5636" width="10.109375" style="10" bestFit="1" customWidth="1"/>
    <col min="5637" max="5637" width="10.6640625" style="10" bestFit="1" customWidth="1"/>
    <col min="5638" max="5638" width="11.44140625" style="10" bestFit="1" customWidth="1"/>
    <col min="5639" max="5639" width="12.6640625" style="10" bestFit="1" customWidth="1"/>
    <col min="5640" max="5640" width="12.44140625" style="10" bestFit="1" customWidth="1"/>
    <col min="5641" max="5641" width="10.6640625" style="10" bestFit="1" customWidth="1"/>
    <col min="5642" max="5642" width="19.109375" style="10" bestFit="1" customWidth="1"/>
    <col min="5643" max="5643" width="17.5546875" style="10" bestFit="1" customWidth="1"/>
    <col min="5644" max="5644" width="15" style="10" customWidth="1"/>
    <col min="5645" max="5645" width="16.44140625" style="10" bestFit="1" customWidth="1"/>
    <col min="5646" max="5646" width="18" style="10" customWidth="1"/>
    <col min="5647" max="5889" width="9.109375" style="10"/>
    <col min="5890" max="5890" width="36.88671875" style="10" customWidth="1"/>
    <col min="5891" max="5891" width="9.109375" style="10"/>
    <col min="5892" max="5892" width="10.109375" style="10" bestFit="1" customWidth="1"/>
    <col min="5893" max="5893" width="10.6640625" style="10" bestFit="1" customWidth="1"/>
    <col min="5894" max="5894" width="11.44140625" style="10" bestFit="1" customWidth="1"/>
    <col min="5895" max="5895" width="12.6640625" style="10" bestFit="1" customWidth="1"/>
    <col min="5896" max="5896" width="12.44140625" style="10" bestFit="1" customWidth="1"/>
    <col min="5897" max="5897" width="10.6640625" style="10" bestFit="1" customWidth="1"/>
    <col min="5898" max="5898" width="19.109375" style="10" bestFit="1" customWidth="1"/>
    <col min="5899" max="5899" width="17.5546875" style="10" bestFit="1" customWidth="1"/>
    <col min="5900" max="5900" width="15" style="10" customWidth="1"/>
    <col min="5901" max="5901" width="16.44140625" style="10" bestFit="1" customWidth="1"/>
    <col min="5902" max="5902" width="18" style="10" customWidth="1"/>
    <col min="5903" max="6145" width="9.109375" style="10"/>
    <col min="6146" max="6146" width="36.88671875" style="10" customWidth="1"/>
    <col min="6147" max="6147" width="9.109375" style="10"/>
    <col min="6148" max="6148" width="10.109375" style="10" bestFit="1" customWidth="1"/>
    <col min="6149" max="6149" width="10.6640625" style="10" bestFit="1" customWidth="1"/>
    <col min="6150" max="6150" width="11.44140625" style="10" bestFit="1" customWidth="1"/>
    <col min="6151" max="6151" width="12.6640625" style="10" bestFit="1" customWidth="1"/>
    <col min="6152" max="6152" width="12.44140625" style="10" bestFit="1" customWidth="1"/>
    <col min="6153" max="6153" width="10.6640625" style="10" bestFit="1" customWidth="1"/>
    <col min="6154" max="6154" width="19.109375" style="10" bestFit="1" customWidth="1"/>
    <col min="6155" max="6155" width="17.5546875" style="10" bestFit="1" customWidth="1"/>
    <col min="6156" max="6156" width="15" style="10" customWidth="1"/>
    <col min="6157" max="6157" width="16.44140625" style="10" bestFit="1" customWidth="1"/>
    <col min="6158" max="6158" width="18" style="10" customWidth="1"/>
    <col min="6159" max="6401" width="9.109375" style="10"/>
    <col min="6402" max="6402" width="36.88671875" style="10" customWidth="1"/>
    <col min="6403" max="6403" width="9.109375" style="10"/>
    <col min="6404" max="6404" width="10.109375" style="10" bestFit="1" customWidth="1"/>
    <col min="6405" max="6405" width="10.6640625" style="10" bestFit="1" customWidth="1"/>
    <col min="6406" max="6406" width="11.44140625" style="10" bestFit="1" customWidth="1"/>
    <col min="6407" max="6407" width="12.6640625" style="10" bestFit="1" customWidth="1"/>
    <col min="6408" max="6408" width="12.44140625" style="10" bestFit="1" customWidth="1"/>
    <col min="6409" max="6409" width="10.6640625" style="10" bestFit="1" customWidth="1"/>
    <col min="6410" max="6410" width="19.109375" style="10" bestFit="1" customWidth="1"/>
    <col min="6411" max="6411" width="17.5546875" style="10" bestFit="1" customWidth="1"/>
    <col min="6412" max="6412" width="15" style="10" customWidth="1"/>
    <col min="6413" max="6413" width="16.44140625" style="10" bestFit="1" customWidth="1"/>
    <col min="6414" max="6414" width="18" style="10" customWidth="1"/>
    <col min="6415" max="6657" width="9.109375" style="10"/>
    <col min="6658" max="6658" width="36.88671875" style="10" customWidth="1"/>
    <col min="6659" max="6659" width="9.109375" style="10"/>
    <col min="6660" max="6660" width="10.109375" style="10" bestFit="1" customWidth="1"/>
    <col min="6661" max="6661" width="10.6640625" style="10" bestFit="1" customWidth="1"/>
    <col min="6662" max="6662" width="11.44140625" style="10" bestFit="1" customWidth="1"/>
    <col min="6663" max="6663" width="12.6640625" style="10" bestFit="1" customWidth="1"/>
    <col min="6664" max="6664" width="12.44140625" style="10" bestFit="1" customWidth="1"/>
    <col min="6665" max="6665" width="10.6640625" style="10" bestFit="1" customWidth="1"/>
    <col min="6666" max="6666" width="19.109375" style="10" bestFit="1" customWidth="1"/>
    <col min="6667" max="6667" width="17.5546875" style="10" bestFit="1" customWidth="1"/>
    <col min="6668" max="6668" width="15" style="10" customWidth="1"/>
    <col min="6669" max="6669" width="16.44140625" style="10" bestFit="1" customWidth="1"/>
    <col min="6670" max="6670" width="18" style="10" customWidth="1"/>
    <col min="6671" max="6913" width="9.109375" style="10"/>
    <col min="6914" max="6914" width="36.88671875" style="10" customWidth="1"/>
    <col min="6915" max="6915" width="9.109375" style="10"/>
    <col min="6916" max="6916" width="10.109375" style="10" bestFit="1" customWidth="1"/>
    <col min="6917" max="6917" width="10.6640625" style="10" bestFit="1" customWidth="1"/>
    <col min="6918" max="6918" width="11.44140625" style="10" bestFit="1" customWidth="1"/>
    <col min="6919" max="6919" width="12.6640625" style="10" bestFit="1" customWidth="1"/>
    <col min="6920" max="6920" width="12.44140625" style="10" bestFit="1" customWidth="1"/>
    <col min="6921" max="6921" width="10.6640625" style="10" bestFit="1" customWidth="1"/>
    <col min="6922" max="6922" width="19.109375" style="10" bestFit="1" customWidth="1"/>
    <col min="6923" max="6923" width="17.5546875" style="10" bestFit="1" customWidth="1"/>
    <col min="6924" max="6924" width="15" style="10" customWidth="1"/>
    <col min="6925" max="6925" width="16.44140625" style="10" bestFit="1" customWidth="1"/>
    <col min="6926" max="6926" width="18" style="10" customWidth="1"/>
    <col min="6927" max="7169" width="9.109375" style="10"/>
    <col min="7170" max="7170" width="36.88671875" style="10" customWidth="1"/>
    <col min="7171" max="7171" width="9.109375" style="10"/>
    <col min="7172" max="7172" width="10.109375" style="10" bestFit="1" customWidth="1"/>
    <col min="7173" max="7173" width="10.6640625" style="10" bestFit="1" customWidth="1"/>
    <col min="7174" max="7174" width="11.44140625" style="10" bestFit="1" customWidth="1"/>
    <col min="7175" max="7175" width="12.6640625" style="10" bestFit="1" customWidth="1"/>
    <col min="7176" max="7176" width="12.44140625" style="10" bestFit="1" customWidth="1"/>
    <col min="7177" max="7177" width="10.6640625" style="10" bestFit="1" customWidth="1"/>
    <col min="7178" max="7178" width="19.109375" style="10" bestFit="1" customWidth="1"/>
    <col min="7179" max="7179" width="17.5546875" style="10" bestFit="1" customWidth="1"/>
    <col min="7180" max="7180" width="15" style="10" customWidth="1"/>
    <col min="7181" max="7181" width="16.44140625" style="10" bestFit="1" customWidth="1"/>
    <col min="7182" max="7182" width="18" style="10" customWidth="1"/>
    <col min="7183" max="7425" width="9.109375" style="10"/>
    <col min="7426" max="7426" width="36.88671875" style="10" customWidth="1"/>
    <col min="7427" max="7427" width="9.109375" style="10"/>
    <col min="7428" max="7428" width="10.109375" style="10" bestFit="1" customWidth="1"/>
    <col min="7429" max="7429" width="10.6640625" style="10" bestFit="1" customWidth="1"/>
    <col min="7430" max="7430" width="11.44140625" style="10" bestFit="1" customWidth="1"/>
    <col min="7431" max="7431" width="12.6640625" style="10" bestFit="1" customWidth="1"/>
    <col min="7432" max="7432" width="12.44140625" style="10" bestFit="1" customWidth="1"/>
    <col min="7433" max="7433" width="10.6640625" style="10" bestFit="1" customWidth="1"/>
    <col min="7434" max="7434" width="19.109375" style="10" bestFit="1" customWidth="1"/>
    <col min="7435" max="7435" width="17.5546875" style="10" bestFit="1" customWidth="1"/>
    <col min="7436" max="7436" width="15" style="10" customWidth="1"/>
    <col min="7437" max="7437" width="16.44140625" style="10" bestFit="1" customWidth="1"/>
    <col min="7438" max="7438" width="18" style="10" customWidth="1"/>
    <col min="7439" max="7681" width="9.109375" style="10"/>
    <col min="7682" max="7682" width="36.88671875" style="10" customWidth="1"/>
    <col min="7683" max="7683" width="9.109375" style="10"/>
    <col min="7684" max="7684" width="10.109375" style="10" bestFit="1" customWidth="1"/>
    <col min="7685" max="7685" width="10.6640625" style="10" bestFit="1" customWidth="1"/>
    <col min="7686" max="7686" width="11.44140625" style="10" bestFit="1" customWidth="1"/>
    <col min="7687" max="7687" width="12.6640625" style="10" bestFit="1" customWidth="1"/>
    <col min="7688" max="7688" width="12.44140625" style="10" bestFit="1" customWidth="1"/>
    <col min="7689" max="7689" width="10.6640625" style="10" bestFit="1" customWidth="1"/>
    <col min="7690" max="7690" width="19.109375" style="10" bestFit="1" customWidth="1"/>
    <col min="7691" max="7691" width="17.5546875" style="10" bestFit="1" customWidth="1"/>
    <col min="7692" max="7692" width="15" style="10" customWidth="1"/>
    <col min="7693" max="7693" width="16.44140625" style="10" bestFit="1" customWidth="1"/>
    <col min="7694" max="7694" width="18" style="10" customWidth="1"/>
    <col min="7695" max="7937" width="9.109375" style="10"/>
    <col min="7938" max="7938" width="36.88671875" style="10" customWidth="1"/>
    <col min="7939" max="7939" width="9.109375" style="10"/>
    <col min="7940" max="7940" width="10.109375" style="10" bestFit="1" customWidth="1"/>
    <col min="7941" max="7941" width="10.6640625" style="10" bestFit="1" customWidth="1"/>
    <col min="7942" max="7942" width="11.44140625" style="10" bestFit="1" customWidth="1"/>
    <col min="7943" max="7943" width="12.6640625" style="10" bestFit="1" customWidth="1"/>
    <col min="7944" max="7944" width="12.44140625" style="10" bestFit="1" customWidth="1"/>
    <col min="7945" max="7945" width="10.6640625" style="10" bestFit="1" customWidth="1"/>
    <col min="7946" max="7946" width="19.109375" style="10" bestFit="1" customWidth="1"/>
    <col min="7947" max="7947" width="17.5546875" style="10" bestFit="1" customWidth="1"/>
    <col min="7948" max="7948" width="15" style="10" customWidth="1"/>
    <col min="7949" max="7949" width="16.44140625" style="10" bestFit="1" customWidth="1"/>
    <col min="7950" max="7950" width="18" style="10" customWidth="1"/>
    <col min="7951" max="8193" width="9.109375" style="10"/>
    <col min="8194" max="8194" width="36.88671875" style="10" customWidth="1"/>
    <col min="8195" max="8195" width="9.109375" style="10"/>
    <col min="8196" max="8196" width="10.109375" style="10" bestFit="1" customWidth="1"/>
    <col min="8197" max="8197" width="10.6640625" style="10" bestFit="1" customWidth="1"/>
    <col min="8198" max="8198" width="11.44140625" style="10" bestFit="1" customWidth="1"/>
    <col min="8199" max="8199" width="12.6640625" style="10" bestFit="1" customWidth="1"/>
    <col min="8200" max="8200" width="12.44140625" style="10" bestFit="1" customWidth="1"/>
    <col min="8201" max="8201" width="10.6640625" style="10" bestFit="1" customWidth="1"/>
    <col min="8202" max="8202" width="19.109375" style="10" bestFit="1" customWidth="1"/>
    <col min="8203" max="8203" width="17.5546875" style="10" bestFit="1" customWidth="1"/>
    <col min="8204" max="8204" width="15" style="10" customWidth="1"/>
    <col min="8205" max="8205" width="16.44140625" style="10" bestFit="1" customWidth="1"/>
    <col min="8206" max="8206" width="18" style="10" customWidth="1"/>
    <col min="8207" max="8449" width="9.109375" style="10"/>
    <col min="8450" max="8450" width="36.88671875" style="10" customWidth="1"/>
    <col min="8451" max="8451" width="9.109375" style="10"/>
    <col min="8452" max="8452" width="10.109375" style="10" bestFit="1" customWidth="1"/>
    <col min="8453" max="8453" width="10.6640625" style="10" bestFit="1" customWidth="1"/>
    <col min="8454" max="8454" width="11.44140625" style="10" bestFit="1" customWidth="1"/>
    <col min="8455" max="8455" width="12.6640625" style="10" bestFit="1" customWidth="1"/>
    <col min="8456" max="8456" width="12.44140625" style="10" bestFit="1" customWidth="1"/>
    <col min="8457" max="8457" width="10.6640625" style="10" bestFit="1" customWidth="1"/>
    <col min="8458" max="8458" width="19.109375" style="10" bestFit="1" customWidth="1"/>
    <col min="8459" max="8459" width="17.5546875" style="10" bestFit="1" customWidth="1"/>
    <col min="8460" max="8460" width="15" style="10" customWidth="1"/>
    <col min="8461" max="8461" width="16.44140625" style="10" bestFit="1" customWidth="1"/>
    <col min="8462" max="8462" width="18" style="10" customWidth="1"/>
    <col min="8463" max="8705" width="9.109375" style="10"/>
    <col min="8706" max="8706" width="36.88671875" style="10" customWidth="1"/>
    <col min="8707" max="8707" width="9.109375" style="10"/>
    <col min="8708" max="8708" width="10.109375" style="10" bestFit="1" customWidth="1"/>
    <col min="8709" max="8709" width="10.6640625" style="10" bestFit="1" customWidth="1"/>
    <col min="8710" max="8710" width="11.44140625" style="10" bestFit="1" customWidth="1"/>
    <col min="8711" max="8711" width="12.6640625" style="10" bestFit="1" customWidth="1"/>
    <col min="8712" max="8712" width="12.44140625" style="10" bestFit="1" customWidth="1"/>
    <col min="8713" max="8713" width="10.6640625" style="10" bestFit="1" customWidth="1"/>
    <col min="8714" max="8714" width="19.109375" style="10" bestFit="1" customWidth="1"/>
    <col min="8715" max="8715" width="17.5546875" style="10" bestFit="1" customWidth="1"/>
    <col min="8716" max="8716" width="15" style="10" customWidth="1"/>
    <col min="8717" max="8717" width="16.44140625" style="10" bestFit="1" customWidth="1"/>
    <col min="8718" max="8718" width="18" style="10" customWidth="1"/>
    <col min="8719" max="8961" width="9.109375" style="10"/>
    <col min="8962" max="8962" width="36.88671875" style="10" customWidth="1"/>
    <col min="8963" max="8963" width="9.109375" style="10"/>
    <col min="8964" max="8964" width="10.109375" style="10" bestFit="1" customWidth="1"/>
    <col min="8965" max="8965" width="10.6640625" style="10" bestFit="1" customWidth="1"/>
    <col min="8966" max="8966" width="11.44140625" style="10" bestFit="1" customWidth="1"/>
    <col min="8967" max="8967" width="12.6640625" style="10" bestFit="1" customWidth="1"/>
    <col min="8968" max="8968" width="12.44140625" style="10" bestFit="1" customWidth="1"/>
    <col min="8969" max="8969" width="10.6640625" style="10" bestFit="1" customWidth="1"/>
    <col min="8970" max="8970" width="19.109375" style="10" bestFit="1" customWidth="1"/>
    <col min="8971" max="8971" width="17.5546875" style="10" bestFit="1" customWidth="1"/>
    <col min="8972" max="8972" width="15" style="10" customWidth="1"/>
    <col min="8973" max="8973" width="16.44140625" style="10" bestFit="1" customWidth="1"/>
    <col min="8974" max="8974" width="18" style="10" customWidth="1"/>
    <col min="8975" max="9217" width="9.109375" style="10"/>
    <col min="9218" max="9218" width="36.88671875" style="10" customWidth="1"/>
    <col min="9219" max="9219" width="9.109375" style="10"/>
    <col min="9220" max="9220" width="10.109375" style="10" bestFit="1" customWidth="1"/>
    <col min="9221" max="9221" width="10.6640625" style="10" bestFit="1" customWidth="1"/>
    <col min="9222" max="9222" width="11.44140625" style="10" bestFit="1" customWidth="1"/>
    <col min="9223" max="9223" width="12.6640625" style="10" bestFit="1" customWidth="1"/>
    <col min="9224" max="9224" width="12.44140625" style="10" bestFit="1" customWidth="1"/>
    <col min="9225" max="9225" width="10.6640625" style="10" bestFit="1" customWidth="1"/>
    <col min="9226" max="9226" width="19.109375" style="10" bestFit="1" customWidth="1"/>
    <col min="9227" max="9227" width="17.5546875" style="10" bestFit="1" customWidth="1"/>
    <col min="9228" max="9228" width="15" style="10" customWidth="1"/>
    <col min="9229" max="9229" width="16.44140625" style="10" bestFit="1" customWidth="1"/>
    <col min="9230" max="9230" width="18" style="10" customWidth="1"/>
    <col min="9231" max="9473" width="9.109375" style="10"/>
    <col min="9474" max="9474" width="36.88671875" style="10" customWidth="1"/>
    <col min="9475" max="9475" width="9.109375" style="10"/>
    <col min="9476" max="9476" width="10.109375" style="10" bestFit="1" customWidth="1"/>
    <col min="9477" max="9477" width="10.6640625" style="10" bestFit="1" customWidth="1"/>
    <col min="9478" max="9478" width="11.44140625" style="10" bestFit="1" customWidth="1"/>
    <col min="9479" max="9479" width="12.6640625" style="10" bestFit="1" customWidth="1"/>
    <col min="9480" max="9480" width="12.44140625" style="10" bestFit="1" customWidth="1"/>
    <col min="9481" max="9481" width="10.6640625" style="10" bestFit="1" customWidth="1"/>
    <col min="9482" max="9482" width="19.109375" style="10" bestFit="1" customWidth="1"/>
    <col min="9483" max="9483" width="17.5546875" style="10" bestFit="1" customWidth="1"/>
    <col min="9484" max="9484" width="15" style="10" customWidth="1"/>
    <col min="9485" max="9485" width="16.44140625" style="10" bestFit="1" customWidth="1"/>
    <col min="9486" max="9486" width="18" style="10" customWidth="1"/>
    <col min="9487" max="9729" width="9.109375" style="10"/>
    <col min="9730" max="9730" width="36.88671875" style="10" customWidth="1"/>
    <col min="9731" max="9731" width="9.109375" style="10"/>
    <col min="9732" max="9732" width="10.109375" style="10" bestFit="1" customWidth="1"/>
    <col min="9733" max="9733" width="10.6640625" style="10" bestFit="1" customWidth="1"/>
    <col min="9734" max="9734" width="11.44140625" style="10" bestFit="1" customWidth="1"/>
    <col min="9735" max="9735" width="12.6640625" style="10" bestFit="1" customWidth="1"/>
    <col min="9736" max="9736" width="12.44140625" style="10" bestFit="1" customWidth="1"/>
    <col min="9737" max="9737" width="10.6640625" style="10" bestFit="1" customWidth="1"/>
    <col min="9738" max="9738" width="19.109375" style="10" bestFit="1" customWidth="1"/>
    <col min="9739" max="9739" width="17.5546875" style="10" bestFit="1" customWidth="1"/>
    <col min="9740" max="9740" width="15" style="10" customWidth="1"/>
    <col min="9741" max="9741" width="16.44140625" style="10" bestFit="1" customWidth="1"/>
    <col min="9742" max="9742" width="18" style="10" customWidth="1"/>
    <col min="9743" max="9985" width="9.109375" style="10"/>
    <col min="9986" max="9986" width="36.88671875" style="10" customWidth="1"/>
    <col min="9987" max="9987" width="9.109375" style="10"/>
    <col min="9988" max="9988" width="10.109375" style="10" bestFit="1" customWidth="1"/>
    <col min="9989" max="9989" width="10.6640625" style="10" bestFit="1" customWidth="1"/>
    <col min="9990" max="9990" width="11.44140625" style="10" bestFit="1" customWidth="1"/>
    <col min="9991" max="9991" width="12.6640625" style="10" bestFit="1" customWidth="1"/>
    <col min="9992" max="9992" width="12.44140625" style="10" bestFit="1" customWidth="1"/>
    <col min="9993" max="9993" width="10.6640625" style="10" bestFit="1" customWidth="1"/>
    <col min="9994" max="9994" width="19.109375" style="10" bestFit="1" customWidth="1"/>
    <col min="9995" max="9995" width="17.5546875" style="10" bestFit="1" customWidth="1"/>
    <col min="9996" max="9996" width="15" style="10" customWidth="1"/>
    <col min="9997" max="9997" width="16.44140625" style="10" bestFit="1" customWidth="1"/>
    <col min="9998" max="9998" width="18" style="10" customWidth="1"/>
    <col min="9999" max="10241" width="9.109375" style="10"/>
    <col min="10242" max="10242" width="36.88671875" style="10" customWidth="1"/>
    <col min="10243" max="10243" width="9.109375" style="10"/>
    <col min="10244" max="10244" width="10.109375" style="10" bestFit="1" customWidth="1"/>
    <col min="10245" max="10245" width="10.6640625" style="10" bestFit="1" customWidth="1"/>
    <col min="10246" max="10246" width="11.44140625" style="10" bestFit="1" customWidth="1"/>
    <col min="10247" max="10247" width="12.6640625" style="10" bestFit="1" customWidth="1"/>
    <col min="10248" max="10248" width="12.44140625" style="10" bestFit="1" customWidth="1"/>
    <col min="10249" max="10249" width="10.6640625" style="10" bestFit="1" customWidth="1"/>
    <col min="10250" max="10250" width="19.109375" style="10" bestFit="1" customWidth="1"/>
    <col min="10251" max="10251" width="17.5546875" style="10" bestFit="1" customWidth="1"/>
    <col min="10252" max="10252" width="15" style="10" customWidth="1"/>
    <col min="10253" max="10253" width="16.44140625" style="10" bestFit="1" customWidth="1"/>
    <col min="10254" max="10254" width="18" style="10" customWidth="1"/>
    <col min="10255" max="10497" width="9.109375" style="10"/>
    <col min="10498" max="10498" width="36.88671875" style="10" customWidth="1"/>
    <col min="10499" max="10499" width="9.109375" style="10"/>
    <col min="10500" max="10500" width="10.109375" style="10" bestFit="1" customWidth="1"/>
    <col min="10501" max="10501" width="10.6640625" style="10" bestFit="1" customWidth="1"/>
    <col min="10502" max="10502" width="11.44140625" style="10" bestFit="1" customWidth="1"/>
    <col min="10503" max="10503" width="12.6640625" style="10" bestFit="1" customWidth="1"/>
    <col min="10504" max="10504" width="12.44140625" style="10" bestFit="1" customWidth="1"/>
    <col min="10505" max="10505" width="10.6640625" style="10" bestFit="1" customWidth="1"/>
    <col min="10506" max="10506" width="19.109375" style="10" bestFit="1" customWidth="1"/>
    <col min="10507" max="10507" width="17.5546875" style="10" bestFit="1" customWidth="1"/>
    <col min="10508" max="10508" width="15" style="10" customWidth="1"/>
    <col min="10509" max="10509" width="16.44140625" style="10" bestFit="1" customWidth="1"/>
    <col min="10510" max="10510" width="18" style="10" customWidth="1"/>
    <col min="10511" max="10753" width="9.109375" style="10"/>
    <col min="10754" max="10754" width="36.88671875" style="10" customWidth="1"/>
    <col min="10755" max="10755" width="9.109375" style="10"/>
    <col min="10756" max="10756" width="10.109375" style="10" bestFit="1" customWidth="1"/>
    <col min="10757" max="10757" width="10.6640625" style="10" bestFit="1" customWidth="1"/>
    <col min="10758" max="10758" width="11.44140625" style="10" bestFit="1" customWidth="1"/>
    <col min="10759" max="10759" width="12.6640625" style="10" bestFit="1" customWidth="1"/>
    <col min="10760" max="10760" width="12.44140625" style="10" bestFit="1" customWidth="1"/>
    <col min="10761" max="10761" width="10.6640625" style="10" bestFit="1" customWidth="1"/>
    <col min="10762" max="10762" width="19.109375" style="10" bestFit="1" customWidth="1"/>
    <col min="10763" max="10763" width="17.5546875" style="10" bestFit="1" customWidth="1"/>
    <col min="10764" max="10764" width="15" style="10" customWidth="1"/>
    <col min="10765" max="10765" width="16.44140625" style="10" bestFit="1" customWidth="1"/>
    <col min="10766" max="10766" width="18" style="10" customWidth="1"/>
    <col min="10767" max="11009" width="9.109375" style="10"/>
    <col min="11010" max="11010" width="36.88671875" style="10" customWidth="1"/>
    <col min="11011" max="11011" width="9.109375" style="10"/>
    <col min="11012" max="11012" width="10.109375" style="10" bestFit="1" customWidth="1"/>
    <col min="11013" max="11013" width="10.6640625" style="10" bestFit="1" customWidth="1"/>
    <col min="11014" max="11014" width="11.44140625" style="10" bestFit="1" customWidth="1"/>
    <col min="11015" max="11015" width="12.6640625" style="10" bestFit="1" customWidth="1"/>
    <col min="11016" max="11016" width="12.44140625" style="10" bestFit="1" customWidth="1"/>
    <col min="11017" max="11017" width="10.6640625" style="10" bestFit="1" customWidth="1"/>
    <col min="11018" max="11018" width="19.109375" style="10" bestFit="1" customWidth="1"/>
    <col min="11019" max="11019" width="17.5546875" style="10" bestFit="1" customWidth="1"/>
    <col min="11020" max="11020" width="15" style="10" customWidth="1"/>
    <col min="11021" max="11021" width="16.44140625" style="10" bestFit="1" customWidth="1"/>
    <col min="11022" max="11022" width="18" style="10" customWidth="1"/>
    <col min="11023" max="11265" width="9.109375" style="10"/>
    <col min="11266" max="11266" width="36.88671875" style="10" customWidth="1"/>
    <col min="11267" max="11267" width="9.109375" style="10"/>
    <col min="11268" max="11268" width="10.109375" style="10" bestFit="1" customWidth="1"/>
    <col min="11269" max="11269" width="10.6640625" style="10" bestFit="1" customWidth="1"/>
    <col min="11270" max="11270" width="11.44140625" style="10" bestFit="1" customWidth="1"/>
    <col min="11271" max="11271" width="12.6640625" style="10" bestFit="1" customWidth="1"/>
    <col min="11272" max="11272" width="12.44140625" style="10" bestFit="1" customWidth="1"/>
    <col min="11273" max="11273" width="10.6640625" style="10" bestFit="1" customWidth="1"/>
    <col min="11274" max="11274" width="19.109375" style="10" bestFit="1" customWidth="1"/>
    <col min="11275" max="11275" width="17.5546875" style="10" bestFit="1" customWidth="1"/>
    <col min="11276" max="11276" width="15" style="10" customWidth="1"/>
    <col min="11277" max="11277" width="16.44140625" style="10" bestFit="1" customWidth="1"/>
    <col min="11278" max="11278" width="18" style="10" customWidth="1"/>
    <col min="11279" max="11521" width="9.109375" style="10"/>
    <col min="11522" max="11522" width="36.88671875" style="10" customWidth="1"/>
    <col min="11523" max="11523" width="9.109375" style="10"/>
    <col min="11524" max="11524" width="10.109375" style="10" bestFit="1" customWidth="1"/>
    <col min="11525" max="11525" width="10.6640625" style="10" bestFit="1" customWidth="1"/>
    <col min="11526" max="11526" width="11.44140625" style="10" bestFit="1" customWidth="1"/>
    <col min="11527" max="11527" width="12.6640625" style="10" bestFit="1" customWidth="1"/>
    <col min="11528" max="11528" width="12.44140625" style="10" bestFit="1" customWidth="1"/>
    <col min="11529" max="11529" width="10.6640625" style="10" bestFit="1" customWidth="1"/>
    <col min="11530" max="11530" width="19.109375" style="10" bestFit="1" customWidth="1"/>
    <col min="11531" max="11531" width="17.5546875" style="10" bestFit="1" customWidth="1"/>
    <col min="11532" max="11532" width="15" style="10" customWidth="1"/>
    <col min="11533" max="11533" width="16.44140625" style="10" bestFit="1" customWidth="1"/>
    <col min="11534" max="11534" width="18" style="10" customWidth="1"/>
    <col min="11535" max="11777" width="9.109375" style="10"/>
    <col min="11778" max="11778" width="36.88671875" style="10" customWidth="1"/>
    <col min="11779" max="11779" width="9.109375" style="10"/>
    <col min="11780" max="11780" width="10.109375" style="10" bestFit="1" customWidth="1"/>
    <col min="11781" max="11781" width="10.6640625" style="10" bestFit="1" customWidth="1"/>
    <col min="11782" max="11782" width="11.44140625" style="10" bestFit="1" customWidth="1"/>
    <col min="11783" max="11783" width="12.6640625" style="10" bestFit="1" customWidth="1"/>
    <col min="11784" max="11784" width="12.44140625" style="10" bestFit="1" customWidth="1"/>
    <col min="11785" max="11785" width="10.6640625" style="10" bestFit="1" customWidth="1"/>
    <col min="11786" max="11786" width="19.109375" style="10" bestFit="1" customWidth="1"/>
    <col min="11787" max="11787" width="17.5546875" style="10" bestFit="1" customWidth="1"/>
    <col min="11788" max="11788" width="15" style="10" customWidth="1"/>
    <col min="11789" max="11789" width="16.44140625" style="10" bestFit="1" customWidth="1"/>
    <col min="11790" max="11790" width="18" style="10" customWidth="1"/>
    <col min="11791" max="12033" width="9.109375" style="10"/>
    <col min="12034" max="12034" width="36.88671875" style="10" customWidth="1"/>
    <col min="12035" max="12035" width="9.109375" style="10"/>
    <col min="12036" max="12036" width="10.109375" style="10" bestFit="1" customWidth="1"/>
    <col min="12037" max="12037" width="10.6640625" style="10" bestFit="1" customWidth="1"/>
    <col min="12038" max="12038" width="11.44140625" style="10" bestFit="1" customWidth="1"/>
    <col min="12039" max="12039" width="12.6640625" style="10" bestFit="1" customWidth="1"/>
    <col min="12040" max="12040" width="12.44140625" style="10" bestFit="1" customWidth="1"/>
    <col min="12041" max="12041" width="10.6640625" style="10" bestFit="1" customWidth="1"/>
    <col min="12042" max="12042" width="19.109375" style="10" bestFit="1" customWidth="1"/>
    <col min="12043" max="12043" width="17.5546875" style="10" bestFit="1" customWidth="1"/>
    <col min="12044" max="12044" width="15" style="10" customWidth="1"/>
    <col min="12045" max="12045" width="16.44140625" style="10" bestFit="1" customWidth="1"/>
    <col min="12046" max="12046" width="18" style="10" customWidth="1"/>
    <col min="12047" max="12289" width="9.109375" style="10"/>
    <col min="12290" max="12290" width="36.88671875" style="10" customWidth="1"/>
    <col min="12291" max="12291" width="9.109375" style="10"/>
    <col min="12292" max="12292" width="10.109375" style="10" bestFit="1" customWidth="1"/>
    <col min="12293" max="12293" width="10.6640625" style="10" bestFit="1" customWidth="1"/>
    <col min="12294" max="12294" width="11.44140625" style="10" bestFit="1" customWidth="1"/>
    <col min="12295" max="12295" width="12.6640625" style="10" bestFit="1" customWidth="1"/>
    <col min="12296" max="12296" width="12.44140625" style="10" bestFit="1" customWidth="1"/>
    <col min="12297" max="12297" width="10.6640625" style="10" bestFit="1" customWidth="1"/>
    <col min="12298" max="12298" width="19.109375" style="10" bestFit="1" customWidth="1"/>
    <col min="12299" max="12299" width="17.5546875" style="10" bestFit="1" customWidth="1"/>
    <col min="12300" max="12300" width="15" style="10" customWidth="1"/>
    <col min="12301" max="12301" width="16.44140625" style="10" bestFit="1" customWidth="1"/>
    <col min="12302" max="12302" width="18" style="10" customWidth="1"/>
    <col min="12303" max="12545" width="9.109375" style="10"/>
    <col min="12546" max="12546" width="36.88671875" style="10" customWidth="1"/>
    <col min="12547" max="12547" width="9.109375" style="10"/>
    <col min="12548" max="12548" width="10.109375" style="10" bestFit="1" customWidth="1"/>
    <col min="12549" max="12549" width="10.6640625" style="10" bestFit="1" customWidth="1"/>
    <col min="12550" max="12550" width="11.44140625" style="10" bestFit="1" customWidth="1"/>
    <col min="12551" max="12551" width="12.6640625" style="10" bestFit="1" customWidth="1"/>
    <col min="12552" max="12552" width="12.44140625" style="10" bestFit="1" customWidth="1"/>
    <col min="12553" max="12553" width="10.6640625" style="10" bestFit="1" customWidth="1"/>
    <col min="12554" max="12554" width="19.109375" style="10" bestFit="1" customWidth="1"/>
    <col min="12555" max="12555" width="17.5546875" style="10" bestFit="1" customWidth="1"/>
    <col min="12556" max="12556" width="15" style="10" customWidth="1"/>
    <col min="12557" max="12557" width="16.44140625" style="10" bestFit="1" customWidth="1"/>
    <col min="12558" max="12558" width="18" style="10" customWidth="1"/>
    <col min="12559" max="12801" width="9.109375" style="10"/>
    <col min="12802" max="12802" width="36.88671875" style="10" customWidth="1"/>
    <col min="12803" max="12803" width="9.109375" style="10"/>
    <col min="12804" max="12804" width="10.109375" style="10" bestFit="1" customWidth="1"/>
    <col min="12805" max="12805" width="10.6640625" style="10" bestFit="1" customWidth="1"/>
    <col min="12806" max="12806" width="11.44140625" style="10" bestFit="1" customWidth="1"/>
    <col min="12807" max="12807" width="12.6640625" style="10" bestFit="1" customWidth="1"/>
    <col min="12808" max="12808" width="12.44140625" style="10" bestFit="1" customWidth="1"/>
    <col min="12809" max="12809" width="10.6640625" style="10" bestFit="1" customWidth="1"/>
    <col min="12810" max="12810" width="19.109375" style="10" bestFit="1" customWidth="1"/>
    <col min="12811" max="12811" width="17.5546875" style="10" bestFit="1" customWidth="1"/>
    <col min="12812" max="12812" width="15" style="10" customWidth="1"/>
    <col min="12813" max="12813" width="16.44140625" style="10" bestFit="1" customWidth="1"/>
    <col min="12814" max="12814" width="18" style="10" customWidth="1"/>
    <col min="12815" max="13057" width="9.109375" style="10"/>
    <col min="13058" max="13058" width="36.88671875" style="10" customWidth="1"/>
    <col min="13059" max="13059" width="9.109375" style="10"/>
    <col min="13060" max="13060" width="10.109375" style="10" bestFit="1" customWidth="1"/>
    <col min="13061" max="13061" width="10.6640625" style="10" bestFit="1" customWidth="1"/>
    <col min="13062" max="13062" width="11.44140625" style="10" bestFit="1" customWidth="1"/>
    <col min="13063" max="13063" width="12.6640625" style="10" bestFit="1" customWidth="1"/>
    <col min="13064" max="13064" width="12.44140625" style="10" bestFit="1" customWidth="1"/>
    <col min="13065" max="13065" width="10.6640625" style="10" bestFit="1" customWidth="1"/>
    <col min="13066" max="13066" width="19.109375" style="10" bestFit="1" customWidth="1"/>
    <col min="13067" max="13067" width="17.5546875" style="10" bestFit="1" customWidth="1"/>
    <col min="13068" max="13068" width="15" style="10" customWidth="1"/>
    <col min="13069" max="13069" width="16.44140625" style="10" bestFit="1" customWidth="1"/>
    <col min="13070" max="13070" width="18" style="10" customWidth="1"/>
    <col min="13071" max="13313" width="9.109375" style="10"/>
    <col min="13314" max="13314" width="36.88671875" style="10" customWidth="1"/>
    <col min="13315" max="13315" width="9.109375" style="10"/>
    <col min="13316" max="13316" width="10.109375" style="10" bestFit="1" customWidth="1"/>
    <col min="13317" max="13317" width="10.6640625" style="10" bestFit="1" customWidth="1"/>
    <col min="13318" max="13318" width="11.44140625" style="10" bestFit="1" customWidth="1"/>
    <col min="13319" max="13319" width="12.6640625" style="10" bestFit="1" customWidth="1"/>
    <col min="13320" max="13320" width="12.44140625" style="10" bestFit="1" customWidth="1"/>
    <col min="13321" max="13321" width="10.6640625" style="10" bestFit="1" customWidth="1"/>
    <col min="13322" max="13322" width="19.109375" style="10" bestFit="1" customWidth="1"/>
    <col min="13323" max="13323" width="17.5546875" style="10" bestFit="1" customWidth="1"/>
    <col min="13324" max="13324" width="15" style="10" customWidth="1"/>
    <col min="13325" max="13325" width="16.44140625" style="10" bestFit="1" customWidth="1"/>
    <col min="13326" max="13326" width="18" style="10" customWidth="1"/>
    <col min="13327" max="13569" width="9.109375" style="10"/>
    <col min="13570" max="13570" width="36.88671875" style="10" customWidth="1"/>
    <col min="13571" max="13571" width="9.109375" style="10"/>
    <col min="13572" max="13572" width="10.109375" style="10" bestFit="1" customWidth="1"/>
    <col min="13573" max="13573" width="10.6640625" style="10" bestFit="1" customWidth="1"/>
    <col min="13574" max="13574" width="11.44140625" style="10" bestFit="1" customWidth="1"/>
    <col min="13575" max="13575" width="12.6640625" style="10" bestFit="1" customWidth="1"/>
    <col min="13576" max="13576" width="12.44140625" style="10" bestFit="1" customWidth="1"/>
    <col min="13577" max="13577" width="10.6640625" style="10" bestFit="1" customWidth="1"/>
    <col min="13578" max="13578" width="19.109375" style="10" bestFit="1" customWidth="1"/>
    <col min="13579" max="13579" width="17.5546875" style="10" bestFit="1" customWidth="1"/>
    <col min="13580" max="13580" width="15" style="10" customWidth="1"/>
    <col min="13581" max="13581" width="16.44140625" style="10" bestFit="1" customWidth="1"/>
    <col min="13582" max="13582" width="18" style="10" customWidth="1"/>
    <col min="13583" max="13825" width="9.109375" style="10"/>
    <col min="13826" max="13826" width="36.88671875" style="10" customWidth="1"/>
    <col min="13827" max="13827" width="9.109375" style="10"/>
    <col min="13828" max="13828" width="10.109375" style="10" bestFit="1" customWidth="1"/>
    <col min="13829" max="13829" width="10.6640625" style="10" bestFit="1" customWidth="1"/>
    <col min="13830" max="13830" width="11.44140625" style="10" bestFit="1" customWidth="1"/>
    <col min="13831" max="13831" width="12.6640625" style="10" bestFit="1" customWidth="1"/>
    <col min="13832" max="13832" width="12.44140625" style="10" bestFit="1" customWidth="1"/>
    <col min="13833" max="13833" width="10.6640625" style="10" bestFit="1" customWidth="1"/>
    <col min="13834" max="13834" width="19.109375" style="10" bestFit="1" customWidth="1"/>
    <col min="13835" max="13835" width="17.5546875" style="10" bestFit="1" customWidth="1"/>
    <col min="13836" max="13836" width="15" style="10" customWidth="1"/>
    <col min="13837" max="13837" width="16.44140625" style="10" bestFit="1" customWidth="1"/>
    <col min="13838" max="13838" width="18" style="10" customWidth="1"/>
    <col min="13839" max="14081" width="9.109375" style="10"/>
    <col min="14082" max="14082" width="36.88671875" style="10" customWidth="1"/>
    <col min="14083" max="14083" width="9.109375" style="10"/>
    <col min="14084" max="14084" width="10.109375" style="10" bestFit="1" customWidth="1"/>
    <col min="14085" max="14085" width="10.6640625" style="10" bestFit="1" customWidth="1"/>
    <col min="14086" max="14086" width="11.44140625" style="10" bestFit="1" customWidth="1"/>
    <col min="14087" max="14087" width="12.6640625" style="10" bestFit="1" customWidth="1"/>
    <col min="14088" max="14088" width="12.44140625" style="10" bestFit="1" customWidth="1"/>
    <col min="14089" max="14089" width="10.6640625" style="10" bestFit="1" customWidth="1"/>
    <col min="14090" max="14090" width="19.109375" style="10" bestFit="1" customWidth="1"/>
    <col min="14091" max="14091" width="17.5546875" style="10" bestFit="1" customWidth="1"/>
    <col min="14092" max="14092" width="15" style="10" customWidth="1"/>
    <col min="14093" max="14093" width="16.44140625" style="10" bestFit="1" customWidth="1"/>
    <col min="14094" max="14094" width="18" style="10" customWidth="1"/>
    <col min="14095" max="14337" width="9.109375" style="10"/>
    <col min="14338" max="14338" width="36.88671875" style="10" customWidth="1"/>
    <col min="14339" max="14339" width="9.109375" style="10"/>
    <col min="14340" max="14340" width="10.109375" style="10" bestFit="1" customWidth="1"/>
    <col min="14341" max="14341" width="10.6640625" style="10" bestFit="1" customWidth="1"/>
    <col min="14342" max="14342" width="11.44140625" style="10" bestFit="1" customWidth="1"/>
    <col min="14343" max="14343" width="12.6640625" style="10" bestFit="1" customWidth="1"/>
    <col min="14344" max="14344" width="12.44140625" style="10" bestFit="1" customWidth="1"/>
    <col min="14345" max="14345" width="10.6640625" style="10" bestFit="1" customWidth="1"/>
    <col min="14346" max="14346" width="19.109375" style="10" bestFit="1" customWidth="1"/>
    <col min="14347" max="14347" width="17.5546875" style="10" bestFit="1" customWidth="1"/>
    <col min="14348" max="14348" width="15" style="10" customWidth="1"/>
    <col min="14349" max="14349" width="16.44140625" style="10" bestFit="1" customWidth="1"/>
    <col min="14350" max="14350" width="18" style="10" customWidth="1"/>
    <col min="14351" max="14593" width="9.109375" style="10"/>
    <col min="14594" max="14594" width="36.88671875" style="10" customWidth="1"/>
    <col min="14595" max="14595" width="9.109375" style="10"/>
    <col min="14596" max="14596" width="10.109375" style="10" bestFit="1" customWidth="1"/>
    <col min="14597" max="14597" width="10.6640625" style="10" bestFit="1" customWidth="1"/>
    <col min="14598" max="14598" width="11.44140625" style="10" bestFit="1" customWidth="1"/>
    <col min="14599" max="14599" width="12.6640625" style="10" bestFit="1" customWidth="1"/>
    <col min="14600" max="14600" width="12.44140625" style="10" bestFit="1" customWidth="1"/>
    <col min="14601" max="14601" width="10.6640625" style="10" bestFit="1" customWidth="1"/>
    <col min="14602" max="14602" width="19.109375" style="10" bestFit="1" customWidth="1"/>
    <col min="14603" max="14603" width="17.5546875" style="10" bestFit="1" customWidth="1"/>
    <col min="14604" max="14604" width="15" style="10" customWidth="1"/>
    <col min="14605" max="14605" width="16.44140625" style="10" bestFit="1" customWidth="1"/>
    <col min="14606" max="14606" width="18" style="10" customWidth="1"/>
    <col min="14607" max="14849" width="9.109375" style="10"/>
    <col min="14850" max="14850" width="36.88671875" style="10" customWidth="1"/>
    <col min="14851" max="14851" width="9.109375" style="10"/>
    <col min="14852" max="14852" width="10.109375" style="10" bestFit="1" customWidth="1"/>
    <col min="14853" max="14853" width="10.6640625" style="10" bestFit="1" customWidth="1"/>
    <col min="14854" max="14854" width="11.44140625" style="10" bestFit="1" customWidth="1"/>
    <col min="14855" max="14855" width="12.6640625" style="10" bestFit="1" customWidth="1"/>
    <col min="14856" max="14856" width="12.44140625" style="10" bestFit="1" customWidth="1"/>
    <col min="14857" max="14857" width="10.6640625" style="10" bestFit="1" customWidth="1"/>
    <col min="14858" max="14858" width="19.109375" style="10" bestFit="1" customWidth="1"/>
    <col min="14859" max="14859" width="17.5546875" style="10" bestFit="1" customWidth="1"/>
    <col min="14860" max="14860" width="15" style="10" customWidth="1"/>
    <col min="14861" max="14861" width="16.44140625" style="10" bestFit="1" customWidth="1"/>
    <col min="14862" max="14862" width="18" style="10" customWidth="1"/>
    <col min="14863" max="15105" width="9.109375" style="10"/>
    <col min="15106" max="15106" width="36.88671875" style="10" customWidth="1"/>
    <col min="15107" max="15107" width="9.109375" style="10"/>
    <col min="15108" max="15108" width="10.109375" style="10" bestFit="1" customWidth="1"/>
    <col min="15109" max="15109" width="10.6640625" style="10" bestFit="1" customWidth="1"/>
    <col min="15110" max="15110" width="11.44140625" style="10" bestFit="1" customWidth="1"/>
    <col min="15111" max="15111" width="12.6640625" style="10" bestFit="1" customWidth="1"/>
    <col min="15112" max="15112" width="12.44140625" style="10" bestFit="1" customWidth="1"/>
    <col min="15113" max="15113" width="10.6640625" style="10" bestFit="1" customWidth="1"/>
    <col min="15114" max="15114" width="19.109375" style="10" bestFit="1" customWidth="1"/>
    <col min="15115" max="15115" width="17.5546875" style="10" bestFit="1" customWidth="1"/>
    <col min="15116" max="15116" width="15" style="10" customWidth="1"/>
    <col min="15117" max="15117" width="16.44140625" style="10" bestFit="1" customWidth="1"/>
    <col min="15118" max="15118" width="18" style="10" customWidth="1"/>
    <col min="15119" max="15361" width="9.109375" style="10"/>
    <col min="15362" max="15362" width="36.88671875" style="10" customWidth="1"/>
    <col min="15363" max="15363" width="9.109375" style="10"/>
    <col min="15364" max="15364" width="10.109375" style="10" bestFit="1" customWidth="1"/>
    <col min="15365" max="15365" width="10.6640625" style="10" bestFit="1" customWidth="1"/>
    <col min="15366" max="15366" width="11.44140625" style="10" bestFit="1" customWidth="1"/>
    <col min="15367" max="15367" width="12.6640625" style="10" bestFit="1" customWidth="1"/>
    <col min="15368" max="15368" width="12.44140625" style="10" bestFit="1" customWidth="1"/>
    <col min="15369" max="15369" width="10.6640625" style="10" bestFit="1" customWidth="1"/>
    <col min="15370" max="15370" width="19.109375" style="10" bestFit="1" customWidth="1"/>
    <col min="15371" max="15371" width="17.5546875" style="10" bestFit="1" customWidth="1"/>
    <col min="15372" max="15372" width="15" style="10" customWidth="1"/>
    <col min="15373" max="15373" width="16.44140625" style="10" bestFit="1" customWidth="1"/>
    <col min="15374" max="15374" width="18" style="10" customWidth="1"/>
    <col min="15375" max="15617" width="9.109375" style="10"/>
    <col min="15618" max="15618" width="36.88671875" style="10" customWidth="1"/>
    <col min="15619" max="15619" width="9.109375" style="10"/>
    <col min="15620" max="15620" width="10.109375" style="10" bestFit="1" customWidth="1"/>
    <col min="15621" max="15621" width="10.6640625" style="10" bestFit="1" customWidth="1"/>
    <col min="15622" max="15622" width="11.44140625" style="10" bestFit="1" customWidth="1"/>
    <col min="15623" max="15623" width="12.6640625" style="10" bestFit="1" customWidth="1"/>
    <col min="15624" max="15624" width="12.44140625" style="10" bestFit="1" customWidth="1"/>
    <col min="15625" max="15625" width="10.6640625" style="10" bestFit="1" customWidth="1"/>
    <col min="15626" max="15626" width="19.109375" style="10" bestFit="1" customWidth="1"/>
    <col min="15627" max="15627" width="17.5546875" style="10" bestFit="1" customWidth="1"/>
    <col min="15628" max="15628" width="15" style="10" customWidth="1"/>
    <col min="15629" max="15629" width="16.44140625" style="10" bestFit="1" customWidth="1"/>
    <col min="15630" max="15630" width="18" style="10" customWidth="1"/>
    <col min="15631" max="15873" width="9.109375" style="10"/>
    <col min="15874" max="15874" width="36.88671875" style="10" customWidth="1"/>
    <col min="15875" max="15875" width="9.109375" style="10"/>
    <col min="15876" max="15876" width="10.109375" style="10" bestFit="1" customWidth="1"/>
    <col min="15877" max="15877" width="10.6640625" style="10" bestFit="1" customWidth="1"/>
    <col min="15878" max="15878" width="11.44140625" style="10" bestFit="1" customWidth="1"/>
    <col min="15879" max="15879" width="12.6640625" style="10" bestFit="1" customWidth="1"/>
    <col min="15880" max="15880" width="12.44140625" style="10" bestFit="1" customWidth="1"/>
    <col min="15881" max="15881" width="10.6640625" style="10" bestFit="1" customWidth="1"/>
    <col min="15882" max="15882" width="19.109375" style="10" bestFit="1" customWidth="1"/>
    <col min="15883" max="15883" width="17.5546875" style="10" bestFit="1" customWidth="1"/>
    <col min="15884" max="15884" width="15" style="10" customWidth="1"/>
    <col min="15885" max="15885" width="16.44140625" style="10" bestFit="1" customWidth="1"/>
    <col min="15886" max="15886" width="18" style="10" customWidth="1"/>
    <col min="15887" max="16129" width="9.109375" style="10"/>
    <col min="16130" max="16130" width="36.88671875" style="10" customWidth="1"/>
    <col min="16131" max="16131" width="9.109375" style="10"/>
    <col min="16132" max="16132" width="10.109375" style="10" bestFit="1" customWidth="1"/>
    <col min="16133" max="16133" width="10.6640625" style="10" bestFit="1" customWidth="1"/>
    <col min="16134" max="16134" width="11.44140625" style="10" bestFit="1" customWidth="1"/>
    <col min="16135" max="16135" width="12.6640625" style="10" bestFit="1" customWidth="1"/>
    <col min="16136" max="16136" width="12.44140625" style="10" bestFit="1" customWidth="1"/>
    <col min="16137" max="16137" width="10.6640625" style="10" bestFit="1" customWidth="1"/>
    <col min="16138" max="16138" width="19.109375" style="10" bestFit="1" customWidth="1"/>
    <col min="16139" max="16139" width="17.5546875" style="10" bestFit="1" customWidth="1"/>
    <col min="16140" max="16140" width="15" style="10" customWidth="1"/>
    <col min="16141" max="16141" width="16.44140625" style="10" bestFit="1" customWidth="1"/>
    <col min="16142" max="16142" width="18" style="10" customWidth="1"/>
    <col min="16143" max="16384" width="9.109375" style="10"/>
  </cols>
  <sheetData>
    <row r="1" spans="1:14" ht="12.75" customHeight="1">
      <c r="A1" s="1507" t="s">
        <v>567</v>
      </c>
      <c r="B1" s="1167"/>
      <c r="C1" s="1167"/>
      <c r="D1" s="1167"/>
      <c r="E1" s="1167"/>
      <c r="F1" s="1167"/>
      <c r="G1" s="1167"/>
      <c r="H1" s="1508"/>
      <c r="I1" s="1509" t="s">
        <v>319</v>
      </c>
      <c r="J1" s="1509"/>
      <c r="K1" s="1509"/>
      <c r="L1" s="1509"/>
      <c r="M1" s="1510"/>
      <c r="N1" s="1513">
        <f>'F1  Cover'!A14</f>
        <v>3200</v>
      </c>
    </row>
    <row r="2" spans="1:14">
      <c r="A2" s="1315"/>
      <c r="B2" s="1304"/>
      <c r="C2" s="1304"/>
      <c r="D2" s="1304"/>
      <c r="E2" s="1304"/>
      <c r="F2" s="1304"/>
      <c r="G2" s="1304"/>
      <c r="H2" s="1515"/>
      <c r="I2" s="1511"/>
      <c r="J2" s="1511"/>
      <c r="K2" s="1511"/>
      <c r="L2" s="1511"/>
      <c r="M2" s="1512"/>
      <c r="N2" s="1514"/>
    </row>
    <row r="3" spans="1:14">
      <c r="A3" s="464" t="s">
        <v>445</v>
      </c>
      <c r="B3" s="463" t="str">
        <f>'F1 Forecast Consultant'!C3</f>
        <v>WESTERN</v>
      </c>
      <c r="C3" s="364"/>
      <c r="D3" s="364"/>
      <c r="E3" s="364"/>
      <c r="F3" s="364"/>
      <c r="G3" s="364"/>
      <c r="H3" s="279"/>
      <c r="I3" s="1516" t="s">
        <v>320</v>
      </c>
      <c r="J3" s="1517"/>
      <c r="K3" s="1518">
        <f>'F1  Cover'!K8</f>
        <v>1</v>
      </c>
      <c r="L3" s="1519"/>
      <c r="M3" s="1519"/>
      <c r="N3" s="1520"/>
    </row>
    <row r="4" spans="1:14" ht="13.8" thickBot="1">
      <c r="A4" s="1326"/>
      <c r="B4" s="1327"/>
      <c r="C4" s="1327"/>
      <c r="D4" s="1327"/>
      <c r="E4" s="1327"/>
      <c r="F4" s="1327"/>
      <c r="G4" s="1327"/>
      <c r="H4" s="1502"/>
      <c r="I4" s="1503" t="s">
        <v>321</v>
      </c>
      <c r="J4" s="1504"/>
      <c r="K4" s="1505" t="str">
        <f>'F1 Forecast Combined'!E3</f>
        <v>X.002-180-2024/1RF</v>
      </c>
      <c r="L4" s="1505"/>
      <c r="M4" s="1505"/>
      <c r="N4" s="1506"/>
    </row>
    <row r="5" spans="1:14" ht="13.8" thickBot="1">
      <c r="A5" s="341" t="s">
        <v>322</v>
      </c>
      <c r="B5" s="342"/>
      <c r="C5" s="342"/>
      <c r="D5" s="342"/>
      <c r="E5" s="342"/>
      <c r="F5" s="342"/>
      <c r="G5" s="342"/>
      <c r="H5" s="342"/>
      <c r="I5" s="342"/>
      <c r="J5" s="342"/>
      <c r="K5" s="342"/>
      <c r="L5" s="342"/>
      <c r="M5" s="342"/>
      <c r="N5" s="374"/>
    </row>
    <row r="6" spans="1:14" ht="40.200000000000003" thickBot="1">
      <c r="A6" s="375" t="s">
        <v>93</v>
      </c>
      <c r="B6" s="376" t="s">
        <v>0</v>
      </c>
      <c r="C6" s="378" t="s">
        <v>1</v>
      </c>
      <c r="D6" s="383" t="s">
        <v>323</v>
      </c>
      <c r="E6" s="384" t="s">
        <v>324</v>
      </c>
      <c r="F6" s="384" t="s">
        <v>325</v>
      </c>
      <c r="G6" s="384" t="s">
        <v>326</v>
      </c>
      <c r="H6" s="377" t="s">
        <v>327</v>
      </c>
      <c r="I6" s="383" t="s">
        <v>3</v>
      </c>
      <c r="J6" s="384" t="s">
        <v>328</v>
      </c>
      <c r="K6" s="384" t="s">
        <v>329</v>
      </c>
      <c r="L6" s="384" t="s">
        <v>330</v>
      </c>
      <c r="M6" s="384" t="s">
        <v>331</v>
      </c>
      <c r="N6" s="377" t="s">
        <v>332</v>
      </c>
    </row>
    <row r="7" spans="1:14" ht="32.1" customHeight="1">
      <c r="A7" s="366">
        <f>'RRM Pricing Schedule'!A13</f>
        <v>3200</v>
      </c>
      <c r="B7" s="367" t="str">
        <f>'RRM Pricing Schedule'!B13</f>
        <v>DETAILED ASSESSMENT PHASE</v>
      </c>
      <c r="C7" s="379"/>
      <c r="D7" s="385"/>
      <c r="E7" s="368"/>
      <c r="F7" s="368"/>
      <c r="G7" s="368"/>
      <c r="H7" s="386"/>
      <c r="I7" s="381"/>
      <c r="J7" s="369"/>
      <c r="K7" s="369"/>
      <c r="L7" s="369"/>
      <c r="M7" s="369"/>
      <c r="N7" s="370"/>
    </row>
    <row r="8" spans="1:14" ht="32.1" customHeight="1">
      <c r="A8" s="451">
        <f>'RRM Pricing Schedule'!A14</f>
        <v>32.01</v>
      </c>
      <c r="B8" s="371" t="str">
        <f>'RRM Pricing Schedule'!B14</f>
        <v>Detailed assessment phase:</v>
      </c>
      <c r="C8" s="380"/>
      <c r="D8" s="387"/>
      <c r="E8" s="372"/>
      <c r="F8" s="372"/>
      <c r="G8" s="372"/>
      <c r="H8" s="373"/>
      <c r="I8" s="382"/>
      <c r="J8" s="372"/>
      <c r="K8" s="372"/>
      <c r="L8" s="372"/>
      <c r="M8" s="372"/>
      <c r="N8" s="373"/>
    </row>
    <row r="9" spans="1:14" ht="32.1" customHeight="1">
      <c r="A9" s="515"/>
      <c r="B9" s="371" t="str">
        <f>'RRM Pricing Schedule'!B15</f>
        <v>(a) Road Condition Report Fee (based on Hours tendered for stage)</v>
      </c>
      <c r="C9" s="380" t="str">
        <f>'RRM Pricing Schedule'!C15</f>
        <v>Lump Sum</v>
      </c>
      <c r="D9" s="387">
        <v>1</v>
      </c>
      <c r="E9" s="441">
        <v>1</v>
      </c>
      <c r="F9" s="585">
        <f>DATA!$U$52</f>
        <v>0</v>
      </c>
      <c r="G9" s="441"/>
      <c r="H9" s="373">
        <f>F9+G9</f>
        <v>0</v>
      </c>
      <c r="I9" s="387">
        <f>'RRM Pricing Schedule'!F15</f>
        <v>0</v>
      </c>
      <c r="J9" s="372">
        <f>D9*I9</f>
        <v>0</v>
      </c>
      <c r="K9" s="372">
        <f>E9*I9</f>
        <v>0</v>
      </c>
      <c r="L9" s="372">
        <f>F9*I9</f>
        <v>0</v>
      </c>
      <c r="M9" s="372">
        <f>G9*I9</f>
        <v>0</v>
      </c>
      <c r="N9" s="373">
        <f>H9*I9</f>
        <v>0</v>
      </c>
    </row>
    <row r="10" spans="1:14" ht="32.1" customHeight="1">
      <c r="A10" s="515"/>
      <c r="B10" s="371" t="str">
        <f>'RRM Pricing Schedule'!B16</f>
        <v>(b) Travel and subsistence cost</v>
      </c>
      <c r="C10" s="380" t="str">
        <f>'RRM Pricing Schedule'!C16</f>
        <v>Lump Sum</v>
      </c>
      <c r="D10" s="387">
        <v>1</v>
      </c>
      <c r="E10" s="441">
        <f>D10</f>
        <v>1</v>
      </c>
      <c r="F10" s="585">
        <f>DATA!$V$52</f>
        <v>0</v>
      </c>
      <c r="G10" s="441"/>
      <c r="H10" s="373">
        <f>F10+G10</f>
        <v>0</v>
      </c>
      <c r="I10" s="387">
        <f>'RRM Pricing Schedule'!F16</f>
        <v>0</v>
      </c>
      <c r="J10" s="372">
        <f>D10*I10</f>
        <v>0</v>
      </c>
      <c r="K10" s="372">
        <f>E10*I10</f>
        <v>0</v>
      </c>
      <c r="L10" s="372">
        <f>F10*I10</f>
        <v>0</v>
      </c>
      <c r="M10" s="372">
        <f>G10*I10</f>
        <v>0</v>
      </c>
      <c r="N10" s="373">
        <f>H10*I10</f>
        <v>0</v>
      </c>
    </row>
    <row r="11" spans="1:14" ht="32.1" customHeight="1">
      <c r="A11" s="732"/>
      <c r="B11" s="371" t="str">
        <f>'RRM Pricing Schedule'!B17</f>
        <v>(c) Toll fees</v>
      </c>
      <c r="C11" s="380" t="str">
        <f>'RRM Pricing Schedule'!C17</f>
        <v>Prime Cost</v>
      </c>
      <c r="D11" s="387">
        <v>1</v>
      </c>
      <c r="E11" s="441">
        <f>D11</f>
        <v>1</v>
      </c>
      <c r="F11" s="585">
        <f>DATA!$W$52</f>
        <v>0</v>
      </c>
      <c r="G11" s="584">
        <f>'Pg 4 P Sums'!K11-F11</f>
        <v>0</v>
      </c>
      <c r="H11" s="373">
        <f>F11+G11</f>
        <v>0</v>
      </c>
      <c r="I11" s="387">
        <f>'RRM Pricing Schedule'!F17</f>
        <v>1000</v>
      </c>
      <c r="J11" s="372">
        <f>D11*I11</f>
        <v>1000</v>
      </c>
      <c r="K11" s="372">
        <f>E11*I11</f>
        <v>1000</v>
      </c>
      <c r="L11" s="372">
        <f>F11*I11</f>
        <v>0</v>
      </c>
      <c r="M11" s="372">
        <f>G11*I11</f>
        <v>0</v>
      </c>
      <c r="N11" s="373">
        <f>H11*I11</f>
        <v>0</v>
      </c>
    </row>
    <row r="12" spans="1:14" ht="32.1" customHeight="1">
      <c r="A12" s="516">
        <f>'RRM Pricing Schedule'!A18</f>
        <v>32.020000000000003</v>
      </c>
      <c r="B12" s="371" t="str">
        <f>'RRM Pricing Schedule'!B18</f>
        <v>Occupational Health and Safety requirements</v>
      </c>
      <c r="C12" s="380" t="str">
        <f>'RRM Pricing Schedule'!C18</f>
        <v>Lump Sum</v>
      </c>
      <c r="D12" s="387">
        <v>1</v>
      </c>
      <c r="E12" s="441">
        <f>D12</f>
        <v>1</v>
      </c>
      <c r="F12" s="585">
        <f>DATA!$X$52</f>
        <v>0</v>
      </c>
      <c r="G12" s="441"/>
      <c r="H12" s="373">
        <f>F12+G12</f>
        <v>0</v>
      </c>
      <c r="I12" s="387">
        <f>'RRM Pricing Schedule'!F18</f>
        <v>0</v>
      </c>
      <c r="J12" s="372">
        <f>D12*I12</f>
        <v>0</v>
      </c>
      <c r="K12" s="372">
        <f>E12*I12</f>
        <v>0</v>
      </c>
      <c r="L12" s="372">
        <f>F12*I12</f>
        <v>0</v>
      </c>
      <c r="M12" s="372">
        <f>G12*I12</f>
        <v>0</v>
      </c>
      <c r="N12" s="373">
        <f>H12*I12</f>
        <v>0</v>
      </c>
    </row>
    <row r="13" spans="1:14" ht="32.1" customHeight="1">
      <c r="A13" s="516">
        <f>'RRM Pricing Schedule'!A19</f>
        <v>32.03</v>
      </c>
      <c r="B13" s="961" t="str">
        <f>'RRM Pricing Schedule'!B19</f>
        <v>Environmental  Services</v>
      </c>
      <c r="C13" s="380"/>
      <c r="D13" s="958"/>
      <c r="E13" s="962"/>
      <c r="F13" s="960"/>
      <c r="G13" s="962"/>
      <c r="H13" s="959"/>
      <c r="I13" s="958"/>
      <c r="J13" s="960"/>
      <c r="K13" s="960"/>
      <c r="L13" s="960"/>
      <c r="M13" s="960"/>
      <c r="N13" s="959"/>
    </row>
    <row r="14" spans="1:14" ht="32.1" customHeight="1">
      <c r="A14" s="451"/>
      <c r="B14" s="961" t="str">
        <f>'RRM Pricing Schedule'!B20</f>
        <v>(a) Environmental services during design stage</v>
      </c>
      <c r="C14" s="380" t="str">
        <f>'RRM Pricing Schedule'!C20</f>
        <v>Prime Cost</v>
      </c>
      <c r="D14" s="387">
        <v>1</v>
      </c>
      <c r="E14" s="441">
        <f>D14</f>
        <v>1</v>
      </c>
      <c r="F14" s="585">
        <f>DATA!$CD$52</f>
        <v>0</v>
      </c>
      <c r="G14" s="584">
        <f>'Pg 4 P Sums'!K20-F14</f>
        <v>0</v>
      </c>
      <c r="H14" s="373">
        <f>F14+G14</f>
        <v>0</v>
      </c>
      <c r="I14" s="387">
        <f>'RRM Pricing Schedule'!F20</f>
        <v>100000</v>
      </c>
      <c r="J14" s="372">
        <f>D14*I14</f>
        <v>100000</v>
      </c>
      <c r="K14" s="372">
        <f>E14*I14</f>
        <v>100000</v>
      </c>
      <c r="L14" s="372">
        <f>F14*I14</f>
        <v>0</v>
      </c>
      <c r="M14" s="372">
        <f>G14*I14</f>
        <v>0</v>
      </c>
      <c r="N14" s="373">
        <f>H14*I14</f>
        <v>0</v>
      </c>
    </row>
    <row r="15" spans="1:14" ht="32.1" customHeight="1">
      <c r="A15" s="516"/>
      <c r="B15" s="961" t="str">
        <f>'RRM Pricing Schedule'!B21</f>
        <v>(b) Cost for procuring and managing sub-service provider under sub-item 32.03 (a)</v>
      </c>
      <c r="C15" s="380" t="str">
        <f>'RRM Pricing Schedule'!C21</f>
        <v>Lump Sum</v>
      </c>
      <c r="D15" s="387">
        <v>1</v>
      </c>
      <c r="E15" s="441">
        <f>D15</f>
        <v>1</v>
      </c>
      <c r="F15" s="585">
        <f>DATA!$CE$52</f>
        <v>0</v>
      </c>
      <c r="G15" s="441"/>
      <c r="H15" s="373">
        <f>F15+G15</f>
        <v>0</v>
      </c>
      <c r="I15" s="387">
        <f>'RRM Pricing Schedule'!F21</f>
        <v>0</v>
      </c>
      <c r="J15" s="372">
        <f>D15*I15</f>
        <v>0</v>
      </c>
      <c r="K15" s="372">
        <f>E15*I15</f>
        <v>0</v>
      </c>
      <c r="L15" s="372">
        <f>F15*I15</f>
        <v>0</v>
      </c>
      <c r="M15" s="372">
        <f>G15*I15</f>
        <v>0</v>
      </c>
      <c r="N15" s="373">
        <f>H15*I15</f>
        <v>0</v>
      </c>
    </row>
    <row r="16" spans="1:14" ht="42.6" customHeight="1">
      <c r="A16" s="451">
        <f>'RRM Pricing Schedule'!A22</f>
        <v>32.04</v>
      </c>
      <c r="B16" s="961" t="str">
        <f>'RRM Pricing Schedule'!B22</f>
        <v>Investigation and sampling for roadbed, borrow pits, quarries, structure founding materials and other areas, e.g. Cuttings</v>
      </c>
      <c r="C16" s="380"/>
      <c r="D16" s="958"/>
      <c r="E16" s="962"/>
      <c r="F16" s="960"/>
      <c r="G16" s="962"/>
      <c r="H16" s="959"/>
      <c r="I16" s="958"/>
      <c r="J16" s="960"/>
      <c r="K16" s="960"/>
      <c r="L16" s="960"/>
      <c r="M16" s="960"/>
      <c r="N16" s="959"/>
    </row>
    <row r="17" spans="1:14" ht="32.1" customHeight="1">
      <c r="A17" s="516"/>
      <c r="B17" s="961" t="str">
        <f>'RRM Pricing Schedule'!B23</f>
        <v>(a)   Establishment of personnel and equipment for test pitting</v>
      </c>
      <c r="C17" s="380" t="str">
        <f>'RRM Pricing Schedule'!C23</f>
        <v>Lump Sum</v>
      </c>
      <c r="D17" s="387">
        <v>1</v>
      </c>
      <c r="E17" s="441">
        <f>D17</f>
        <v>1</v>
      </c>
      <c r="F17" s="585">
        <f>DATA!$CF$52</f>
        <v>0</v>
      </c>
      <c r="G17" s="441"/>
      <c r="H17" s="373">
        <f>F17+G17</f>
        <v>0</v>
      </c>
      <c r="I17" s="387">
        <f>'RRM Pricing Schedule'!F23</f>
        <v>0</v>
      </c>
      <c r="J17" s="372">
        <f>D17*I17</f>
        <v>0</v>
      </c>
      <c r="K17" s="372">
        <f>E17*I17</f>
        <v>0</v>
      </c>
      <c r="L17" s="372">
        <f>F17*I17</f>
        <v>0</v>
      </c>
      <c r="M17" s="372">
        <f>G17*I17</f>
        <v>0</v>
      </c>
      <c r="N17" s="373">
        <f>H17*I17</f>
        <v>0</v>
      </c>
    </row>
    <row r="18" spans="1:14" ht="32.1" customHeight="1">
      <c r="A18" s="451"/>
      <c r="B18" s="961" t="str">
        <f>'RRM Pricing Schedule'!B24</f>
        <v>(b)   Hire and operation of excavator</v>
      </c>
      <c r="C18" s="380" t="str">
        <f>'RRM Pricing Schedule'!C24</f>
        <v>Prime Cost</v>
      </c>
      <c r="D18" s="387">
        <v>1</v>
      </c>
      <c r="E18" s="441">
        <f>D18</f>
        <v>1</v>
      </c>
      <c r="F18" s="585">
        <f>DATA!$CG$52</f>
        <v>0</v>
      </c>
      <c r="G18" s="584">
        <f>'Pg 4 P Sums'!K29-F18</f>
        <v>0</v>
      </c>
      <c r="H18" s="373">
        <f>F18+G18</f>
        <v>0</v>
      </c>
      <c r="I18" s="387">
        <f>'RRM Pricing Schedule'!F24</f>
        <v>100000</v>
      </c>
      <c r="J18" s="372">
        <f>D18*I18</f>
        <v>100000</v>
      </c>
      <c r="K18" s="372">
        <f>E18*I18</f>
        <v>100000</v>
      </c>
      <c r="L18" s="372">
        <f>F18*I18</f>
        <v>0</v>
      </c>
      <c r="M18" s="372">
        <f>G18*I18</f>
        <v>0</v>
      </c>
      <c r="N18" s="373">
        <f>H18*I18</f>
        <v>0</v>
      </c>
    </row>
    <row r="19" spans="1:14" ht="32.1" customHeight="1">
      <c r="A19" s="451"/>
      <c r="B19" s="961" t="str">
        <f>'RRM Pricing Schedule'!B25</f>
        <v>(c)   Handling costs in respect of 32.04 (b)</v>
      </c>
      <c r="C19" s="380" t="str">
        <f>'RRM Pricing Schedule'!C25</f>
        <v>%</v>
      </c>
      <c r="D19" s="958"/>
      <c r="E19" s="962"/>
      <c r="F19" s="960"/>
      <c r="G19" s="962"/>
      <c r="H19" s="959"/>
      <c r="I19" s="958"/>
      <c r="J19" s="960"/>
      <c r="K19" s="960"/>
      <c r="L19" s="960"/>
      <c r="M19" s="960"/>
      <c r="N19" s="959"/>
    </row>
    <row r="20" spans="1:14" ht="32.1" customHeight="1">
      <c r="A20" s="516"/>
      <c r="B20" s="961" t="str">
        <f>'RRM Pricing Schedule'!B26</f>
        <v>(d)   Test pit excavation by hand</v>
      </c>
      <c r="C20" s="380" t="str">
        <f>'RRM Pricing Schedule'!C26</f>
        <v>number (No)</v>
      </c>
      <c r="D20" s="387">
        <f>'RRM Pricing Schedule'!D26</f>
        <v>10</v>
      </c>
      <c r="E20" s="441">
        <f>D20</f>
        <v>10</v>
      </c>
      <c r="F20" s="585">
        <f>DATA!$CH$52</f>
        <v>0</v>
      </c>
      <c r="G20" s="441"/>
      <c r="H20" s="373">
        <f>F20+G20</f>
        <v>0</v>
      </c>
      <c r="I20" s="387">
        <f>'RRM Pricing Schedule'!F26</f>
        <v>0</v>
      </c>
      <c r="J20" s="372">
        <f>D20*I20</f>
        <v>0</v>
      </c>
      <c r="K20" s="372">
        <f>E20*I20</f>
        <v>0</v>
      </c>
      <c r="L20" s="372">
        <f>F20*I20</f>
        <v>0</v>
      </c>
      <c r="M20" s="372">
        <f>G20*I20</f>
        <v>0</v>
      </c>
      <c r="N20" s="373">
        <f>H20*I20</f>
        <v>0</v>
      </c>
    </row>
    <row r="21" spans="1:14" ht="32.1" customHeight="1">
      <c r="A21" s="516"/>
      <c r="B21" s="961" t="str">
        <f>'RRM Pricing Schedule'!B27</f>
        <v>(e)   Sampling and profiling of test pits</v>
      </c>
      <c r="C21" s="380" t="str">
        <f>'RRM Pricing Schedule'!C27</f>
        <v>number (No)</v>
      </c>
      <c r="D21" s="387">
        <f>'RRM Pricing Schedule'!D27</f>
        <v>10</v>
      </c>
      <c r="E21" s="441">
        <f>D21</f>
        <v>10</v>
      </c>
      <c r="F21" s="585">
        <f>DATA!$CI$52</f>
        <v>0</v>
      </c>
      <c r="G21" s="441"/>
      <c r="H21" s="373">
        <f>F21+G21</f>
        <v>0</v>
      </c>
      <c r="I21" s="387">
        <f>'RRM Pricing Schedule'!F27</f>
        <v>0</v>
      </c>
      <c r="J21" s="372">
        <f>D21*I21</f>
        <v>0</v>
      </c>
      <c r="K21" s="372">
        <f>E21*I21</f>
        <v>0</v>
      </c>
      <c r="L21" s="372">
        <f>F21*I21</f>
        <v>0</v>
      </c>
      <c r="M21" s="372">
        <f>G21*I21</f>
        <v>0</v>
      </c>
      <c r="N21" s="373">
        <f>H21*I21</f>
        <v>0</v>
      </c>
    </row>
    <row r="22" spans="1:14" ht="32.1" customHeight="1">
      <c r="A22" s="516"/>
      <c r="B22" s="961" t="str">
        <f>'RRM Pricing Schedule'!B28</f>
        <v>(f)    DCP</v>
      </c>
      <c r="C22" s="380" t="str">
        <f>'RRM Pricing Schedule'!C28</f>
        <v>number (No)</v>
      </c>
      <c r="D22" s="387">
        <f>'RRM Pricing Schedule'!D28</f>
        <v>10</v>
      </c>
      <c r="E22" s="441">
        <f>D22</f>
        <v>10</v>
      </c>
      <c r="F22" s="585">
        <f>DATA!$CJ$52</f>
        <v>0</v>
      </c>
      <c r="G22" s="441"/>
      <c r="H22" s="373">
        <f>F22+G22</f>
        <v>0</v>
      </c>
      <c r="I22" s="387">
        <f>'RRM Pricing Schedule'!F28</f>
        <v>0</v>
      </c>
      <c r="J22" s="372">
        <f>D22*I22</f>
        <v>0</v>
      </c>
      <c r="K22" s="372">
        <f>E22*I22</f>
        <v>0</v>
      </c>
      <c r="L22" s="372">
        <f>F22*I22</f>
        <v>0</v>
      </c>
      <c r="M22" s="372">
        <f>G22*I22</f>
        <v>0</v>
      </c>
      <c r="N22" s="373">
        <f>H22*I22</f>
        <v>0</v>
      </c>
    </row>
    <row r="23" spans="1:14" ht="32.1" customHeight="1">
      <c r="A23" s="451"/>
      <c r="B23" s="961" t="str">
        <f>'RRM Pricing Schedule'!B29</f>
        <v>(g)   Transport of samples to laboratory</v>
      </c>
      <c r="C23" s="380"/>
      <c r="D23" s="958"/>
      <c r="E23" s="962"/>
      <c r="F23" s="960"/>
      <c r="G23" s="962"/>
      <c r="H23" s="959"/>
      <c r="I23" s="958"/>
      <c r="J23" s="960"/>
      <c r="K23" s="960"/>
      <c r="L23" s="960"/>
      <c r="M23" s="960"/>
      <c r="N23" s="959"/>
    </row>
    <row r="24" spans="1:14" ht="32.1" customHeight="1">
      <c r="A24" s="516"/>
      <c r="B24" s="961" t="str">
        <f>'RRM Pricing Schedule'!B30</f>
        <v xml:space="preserve">  (i) Large bags</v>
      </c>
      <c r="C24" s="380" t="str">
        <f>'RRM Pricing Schedule'!C30</f>
        <v>number (No)</v>
      </c>
      <c r="D24" s="387">
        <f>'RRM Pricing Schedule'!D30</f>
        <v>10</v>
      </c>
      <c r="E24" s="441">
        <f>D24</f>
        <v>10</v>
      </c>
      <c r="F24" s="585">
        <f>DATA!$CK$52</f>
        <v>0</v>
      </c>
      <c r="G24" s="441"/>
      <c r="H24" s="373">
        <f>F24+G24</f>
        <v>0</v>
      </c>
      <c r="I24" s="387">
        <f>'RRM Pricing Schedule'!F30</f>
        <v>0</v>
      </c>
      <c r="J24" s="372">
        <f>D24*I24</f>
        <v>0</v>
      </c>
      <c r="K24" s="372">
        <f>E24*I24</f>
        <v>0</v>
      </c>
      <c r="L24" s="372">
        <f>F24*I24</f>
        <v>0</v>
      </c>
      <c r="M24" s="372">
        <f>G24*I24</f>
        <v>0</v>
      </c>
      <c r="N24" s="373">
        <f>H24*I24</f>
        <v>0</v>
      </c>
    </row>
    <row r="25" spans="1:14" ht="32.1" customHeight="1" thickBot="1">
      <c r="A25" s="516"/>
      <c r="B25" s="961" t="str">
        <f>'RRM Pricing Schedule'!B31</f>
        <v xml:space="preserve">  (ii) Small bags</v>
      </c>
      <c r="C25" s="380" t="str">
        <f>'RRM Pricing Schedule'!C31</f>
        <v>number (No)</v>
      </c>
      <c r="D25" s="387">
        <f>'RRM Pricing Schedule'!D31</f>
        <v>10</v>
      </c>
      <c r="E25" s="441">
        <f>D25</f>
        <v>10</v>
      </c>
      <c r="F25" s="585">
        <f>DATA!$CL$52</f>
        <v>0</v>
      </c>
      <c r="G25" s="441"/>
      <c r="H25" s="373">
        <f>F25+G25</f>
        <v>0</v>
      </c>
      <c r="I25" s="387">
        <f>'RRM Pricing Schedule'!F31</f>
        <v>0</v>
      </c>
      <c r="J25" s="372">
        <f>D25*I25</f>
        <v>0</v>
      </c>
      <c r="K25" s="372">
        <f>E25*I25</f>
        <v>0</v>
      </c>
      <c r="L25" s="372">
        <f>F25*I25</f>
        <v>0</v>
      </c>
      <c r="M25" s="372">
        <f>G25*I25</f>
        <v>0</v>
      </c>
      <c r="N25" s="373">
        <f>H25*I25</f>
        <v>0</v>
      </c>
    </row>
    <row r="26" spans="1:14" s="364" customFormat="1" ht="31.5" customHeight="1" thickBot="1">
      <c r="A26" s="1500" t="s">
        <v>333</v>
      </c>
      <c r="B26" s="1500"/>
      <c r="C26" s="1501"/>
      <c r="D26" s="435"/>
      <c r="E26" s="436"/>
      <c r="F26" s="436"/>
      <c r="G26" s="436"/>
      <c r="H26" s="437"/>
      <c r="I26" s="438"/>
      <c r="J26" s="439">
        <f>SUM(J8:J25)</f>
        <v>201000</v>
      </c>
      <c r="K26" s="439">
        <f t="shared" ref="K26:N26" si="0">SUM(K8:K25)</f>
        <v>201000</v>
      </c>
      <c r="L26" s="439">
        <f t="shared" si="0"/>
        <v>0</v>
      </c>
      <c r="M26" s="439">
        <f t="shared" si="0"/>
        <v>0</v>
      </c>
      <c r="N26" s="440">
        <f t="shared" si="0"/>
        <v>0</v>
      </c>
    </row>
    <row r="29" spans="1:14" s="364" customFormat="1" ht="30.9" customHeight="1">
      <c r="A29" s="545" t="s">
        <v>382</v>
      </c>
      <c r="B29" s="545"/>
      <c r="J29" s="455">
        <f>J9+J10+J12+J15+J17+J20+J21+J22+J24+J25</f>
        <v>0</v>
      </c>
      <c r="K29" s="455">
        <f t="shared" ref="K29:N29" si="1">K9+K10+K12+K15+K17+K20+K21+K22+K24+K25</f>
        <v>0</v>
      </c>
      <c r="L29" s="455">
        <f t="shared" si="1"/>
        <v>0</v>
      </c>
      <c r="M29" s="455">
        <f t="shared" si="1"/>
        <v>0</v>
      </c>
      <c r="N29" s="455">
        <f t="shared" si="1"/>
        <v>0</v>
      </c>
    </row>
    <row r="30" spans="1:14" s="364" customFormat="1" ht="30.9" customHeight="1">
      <c r="A30" s="364" t="s">
        <v>384</v>
      </c>
      <c r="J30" s="455">
        <f>J11+J14+J18</f>
        <v>201000</v>
      </c>
      <c r="K30" s="455">
        <f t="shared" ref="K30:N30" si="2">K11+K14+K18</f>
        <v>201000</v>
      </c>
      <c r="L30" s="455">
        <f t="shared" si="2"/>
        <v>0</v>
      </c>
      <c r="M30" s="455">
        <f t="shared" si="2"/>
        <v>0</v>
      </c>
      <c r="N30" s="455">
        <f t="shared" si="2"/>
        <v>0</v>
      </c>
    </row>
    <row r="31" spans="1:14" s="364" customFormat="1" ht="30.9" customHeight="1" thickBot="1">
      <c r="A31" s="364" t="s">
        <v>383</v>
      </c>
      <c r="J31" s="517">
        <f>SUM(J29:J30)</f>
        <v>201000</v>
      </c>
      <c r="K31" s="517">
        <f t="shared" ref="K31:N31" si="3">SUM(K29:K30)</f>
        <v>201000</v>
      </c>
      <c r="L31" s="517">
        <f t="shared" si="3"/>
        <v>0</v>
      </c>
      <c r="M31" s="517">
        <f t="shared" si="3"/>
        <v>0</v>
      </c>
      <c r="N31" s="517">
        <f t="shared" si="3"/>
        <v>0</v>
      </c>
    </row>
    <row r="32" spans="1:14" ht="13.8" thickTop="1"/>
  </sheetData>
  <mergeCells count="10">
    <mergeCell ref="A26:C26"/>
    <mergeCell ref="A4:H4"/>
    <mergeCell ref="I4:J4"/>
    <mergeCell ref="K4:N4"/>
    <mergeCell ref="A1:H1"/>
    <mergeCell ref="I1:M2"/>
    <mergeCell ref="N1:N2"/>
    <mergeCell ref="A2:H2"/>
    <mergeCell ref="I3:J3"/>
    <mergeCell ref="K3:N3"/>
  </mergeCells>
  <conditionalFormatting sqref="H9">
    <cfRule type="expression" dxfId="35" priority="6">
      <formula>H9&gt;E9</formula>
    </cfRule>
  </conditionalFormatting>
  <conditionalFormatting sqref="H10">
    <cfRule type="expression" dxfId="34" priority="5">
      <formula>H10&gt;E10</formula>
    </cfRule>
  </conditionalFormatting>
  <conditionalFormatting sqref="H11">
    <cfRule type="expression" dxfId="33" priority="4">
      <formula>H11&gt;E11</formula>
    </cfRule>
  </conditionalFormatting>
  <conditionalFormatting sqref="H12:H13 H15:H17 H19:H25">
    <cfRule type="expression" dxfId="32" priority="3">
      <formula>H12&gt;E12</formula>
    </cfRule>
  </conditionalFormatting>
  <conditionalFormatting sqref="H14">
    <cfRule type="expression" dxfId="31" priority="2">
      <formula>H14&gt;E14</formula>
    </cfRule>
  </conditionalFormatting>
  <conditionalFormatting sqref="H18">
    <cfRule type="expression" dxfId="30" priority="1">
      <formula>H18&gt;E18</formula>
    </cfRule>
  </conditionalFormatting>
  <printOptions horizontalCentered="1"/>
  <pageMargins left="0.23622047244094491" right="0" top="0.51" bottom="0.17" header="0.24" footer="0.32"/>
  <pageSetup paperSize="9" scale="66" fitToHeight="0" orientation="landscape" r:id="rId1"/>
  <headerFooter alignWithMargins="0">
    <oddHeader>&amp;L&amp;"Calibri"&amp;10&amp;K000000 Sensitivity - General&amp;1#_x000D_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8">
    <tabColor rgb="FF0070C0"/>
    <pageSetUpPr fitToPage="1"/>
  </sheetPr>
  <dimension ref="A1:N17"/>
  <sheetViews>
    <sheetView zoomScaleNormal="100" workbookViewId="0">
      <selection sqref="A1:E1"/>
    </sheetView>
  </sheetViews>
  <sheetFormatPr defaultRowHeight="13.2"/>
  <cols>
    <col min="1" max="1" width="9.109375" style="364"/>
    <col min="2" max="2" width="36.88671875" style="364" customWidth="1"/>
    <col min="3" max="3" width="19.5546875" style="364" customWidth="1"/>
    <col min="4" max="8" width="11.6640625" style="364" customWidth="1"/>
    <col min="9" max="9" width="11.6640625" style="455" bestFit="1" customWidth="1"/>
    <col min="10" max="11" width="12.88671875" style="364" bestFit="1" customWidth="1"/>
    <col min="12" max="12" width="12.44140625" style="364" customWidth="1"/>
    <col min="13" max="13" width="11.33203125" style="364" bestFit="1" customWidth="1"/>
    <col min="14" max="14" width="11.6640625" style="364" bestFit="1" customWidth="1"/>
    <col min="15" max="257" width="9.109375" style="364"/>
    <col min="258" max="258" width="31.33203125" style="364" customWidth="1"/>
    <col min="259" max="259" width="12.109375" style="364" customWidth="1"/>
    <col min="260" max="262" width="10.109375" style="364" bestFit="1" customWidth="1"/>
    <col min="263" max="263" width="9.6640625" style="364" bestFit="1" customWidth="1"/>
    <col min="264" max="264" width="10.33203125" style="364" bestFit="1" customWidth="1"/>
    <col min="265" max="265" width="11.6640625" style="364" bestFit="1" customWidth="1"/>
    <col min="266" max="267" width="12.88671875" style="364" bestFit="1" customWidth="1"/>
    <col min="268" max="268" width="12.44140625" style="364" customWidth="1"/>
    <col min="269" max="269" width="11.33203125" style="364" bestFit="1" customWidth="1"/>
    <col min="270" max="270" width="11.6640625" style="364" bestFit="1" customWidth="1"/>
    <col min="271" max="513" width="9.109375" style="364"/>
    <col min="514" max="514" width="31.33203125" style="364" customWidth="1"/>
    <col min="515" max="515" width="12.109375" style="364" customWidth="1"/>
    <col min="516" max="518" width="10.109375" style="364" bestFit="1" customWidth="1"/>
    <col min="519" max="519" width="9.6640625" style="364" bestFit="1" customWidth="1"/>
    <col min="520" max="520" width="10.33203125" style="364" bestFit="1" customWidth="1"/>
    <col min="521" max="521" width="11.6640625" style="364" bestFit="1" customWidth="1"/>
    <col min="522" max="523" width="12.88671875" style="364" bestFit="1" customWidth="1"/>
    <col min="524" max="524" width="12.44140625" style="364" customWidth="1"/>
    <col min="525" max="525" width="11.33203125" style="364" bestFit="1" customWidth="1"/>
    <col min="526" max="526" width="11.6640625" style="364" bestFit="1" customWidth="1"/>
    <col min="527" max="769" width="9.109375" style="364"/>
    <col min="770" max="770" width="31.33203125" style="364" customWidth="1"/>
    <col min="771" max="771" width="12.109375" style="364" customWidth="1"/>
    <col min="772" max="774" width="10.109375" style="364" bestFit="1" customWidth="1"/>
    <col min="775" max="775" width="9.6640625" style="364" bestFit="1" customWidth="1"/>
    <col min="776" max="776" width="10.33203125" style="364" bestFit="1" customWidth="1"/>
    <col min="777" max="777" width="11.6640625" style="364" bestFit="1" customWidth="1"/>
    <col min="778" max="779" width="12.88671875" style="364" bestFit="1" customWidth="1"/>
    <col min="780" max="780" width="12.44140625" style="364" customWidth="1"/>
    <col min="781" max="781" width="11.33203125" style="364" bestFit="1" customWidth="1"/>
    <col min="782" max="782" width="11.6640625" style="364" bestFit="1" customWidth="1"/>
    <col min="783" max="1025" width="9.109375" style="364"/>
    <col min="1026" max="1026" width="31.33203125" style="364" customWidth="1"/>
    <col min="1027" max="1027" width="12.109375" style="364" customWidth="1"/>
    <col min="1028" max="1030" width="10.109375" style="364" bestFit="1" customWidth="1"/>
    <col min="1031" max="1031" width="9.6640625" style="364" bestFit="1" customWidth="1"/>
    <col min="1032" max="1032" width="10.33203125" style="364" bestFit="1" customWidth="1"/>
    <col min="1033" max="1033" width="11.6640625" style="364" bestFit="1" customWidth="1"/>
    <col min="1034" max="1035" width="12.88671875" style="364" bestFit="1" customWidth="1"/>
    <col min="1036" max="1036" width="12.44140625" style="364" customWidth="1"/>
    <col min="1037" max="1037" width="11.33203125" style="364" bestFit="1" customWidth="1"/>
    <col min="1038" max="1038" width="11.6640625" style="364" bestFit="1" customWidth="1"/>
    <col min="1039" max="1281" width="9.109375" style="364"/>
    <col min="1282" max="1282" width="31.33203125" style="364" customWidth="1"/>
    <col min="1283" max="1283" width="12.109375" style="364" customWidth="1"/>
    <col min="1284" max="1286" width="10.109375" style="364" bestFit="1" customWidth="1"/>
    <col min="1287" max="1287" width="9.6640625" style="364" bestFit="1" customWidth="1"/>
    <col min="1288" max="1288" width="10.33203125" style="364" bestFit="1" customWidth="1"/>
    <col min="1289" max="1289" width="11.6640625" style="364" bestFit="1" customWidth="1"/>
    <col min="1290" max="1291" width="12.88671875" style="364" bestFit="1" customWidth="1"/>
    <col min="1292" max="1292" width="12.44140625" style="364" customWidth="1"/>
    <col min="1293" max="1293" width="11.33203125" style="364" bestFit="1" customWidth="1"/>
    <col min="1294" max="1294" width="11.6640625" style="364" bestFit="1" customWidth="1"/>
    <col min="1295" max="1537" width="9.109375" style="364"/>
    <col min="1538" max="1538" width="31.33203125" style="364" customWidth="1"/>
    <col min="1539" max="1539" width="12.109375" style="364" customWidth="1"/>
    <col min="1540" max="1542" width="10.109375" style="364" bestFit="1" customWidth="1"/>
    <col min="1543" max="1543" width="9.6640625" style="364" bestFit="1" customWidth="1"/>
    <col min="1544" max="1544" width="10.33203125" style="364" bestFit="1" customWidth="1"/>
    <col min="1545" max="1545" width="11.6640625" style="364" bestFit="1" customWidth="1"/>
    <col min="1546" max="1547" width="12.88671875" style="364" bestFit="1" customWidth="1"/>
    <col min="1548" max="1548" width="12.44140625" style="364" customWidth="1"/>
    <col min="1549" max="1549" width="11.33203125" style="364" bestFit="1" customWidth="1"/>
    <col min="1550" max="1550" width="11.6640625" style="364" bestFit="1" customWidth="1"/>
    <col min="1551" max="1793" width="9.109375" style="364"/>
    <col min="1794" max="1794" width="31.33203125" style="364" customWidth="1"/>
    <col min="1795" max="1795" width="12.109375" style="364" customWidth="1"/>
    <col min="1796" max="1798" width="10.109375" style="364" bestFit="1" customWidth="1"/>
    <col min="1799" max="1799" width="9.6640625" style="364" bestFit="1" customWidth="1"/>
    <col min="1800" max="1800" width="10.33203125" style="364" bestFit="1" customWidth="1"/>
    <col min="1801" max="1801" width="11.6640625" style="364" bestFit="1" customWidth="1"/>
    <col min="1802" max="1803" width="12.88671875" style="364" bestFit="1" customWidth="1"/>
    <col min="1804" max="1804" width="12.44140625" style="364" customWidth="1"/>
    <col min="1805" max="1805" width="11.33203125" style="364" bestFit="1" customWidth="1"/>
    <col min="1806" max="1806" width="11.6640625" style="364" bestFit="1" customWidth="1"/>
    <col min="1807" max="2049" width="9.109375" style="364"/>
    <col min="2050" max="2050" width="31.33203125" style="364" customWidth="1"/>
    <col min="2051" max="2051" width="12.109375" style="364" customWidth="1"/>
    <col min="2052" max="2054" width="10.109375" style="364" bestFit="1" customWidth="1"/>
    <col min="2055" max="2055" width="9.6640625" style="364" bestFit="1" customWidth="1"/>
    <col min="2056" max="2056" width="10.33203125" style="364" bestFit="1" customWidth="1"/>
    <col min="2057" max="2057" width="11.6640625" style="364" bestFit="1" customWidth="1"/>
    <col min="2058" max="2059" width="12.88671875" style="364" bestFit="1" customWidth="1"/>
    <col min="2060" max="2060" width="12.44140625" style="364" customWidth="1"/>
    <col min="2061" max="2061" width="11.33203125" style="364" bestFit="1" customWidth="1"/>
    <col min="2062" max="2062" width="11.6640625" style="364" bestFit="1" customWidth="1"/>
    <col min="2063" max="2305" width="9.109375" style="364"/>
    <col min="2306" max="2306" width="31.33203125" style="364" customWidth="1"/>
    <col min="2307" max="2307" width="12.109375" style="364" customWidth="1"/>
    <col min="2308" max="2310" width="10.109375" style="364" bestFit="1" customWidth="1"/>
    <col min="2311" max="2311" width="9.6640625" style="364" bestFit="1" customWidth="1"/>
    <col min="2312" max="2312" width="10.33203125" style="364" bestFit="1" customWidth="1"/>
    <col min="2313" max="2313" width="11.6640625" style="364" bestFit="1" customWidth="1"/>
    <col min="2314" max="2315" width="12.88671875" style="364" bestFit="1" customWidth="1"/>
    <col min="2316" max="2316" width="12.44140625" style="364" customWidth="1"/>
    <col min="2317" max="2317" width="11.33203125" style="364" bestFit="1" customWidth="1"/>
    <col min="2318" max="2318" width="11.6640625" style="364" bestFit="1" customWidth="1"/>
    <col min="2319" max="2561" width="9.109375" style="364"/>
    <col min="2562" max="2562" width="31.33203125" style="364" customWidth="1"/>
    <col min="2563" max="2563" width="12.109375" style="364" customWidth="1"/>
    <col min="2564" max="2566" width="10.109375" style="364" bestFit="1" customWidth="1"/>
    <col min="2567" max="2567" width="9.6640625" style="364" bestFit="1" customWidth="1"/>
    <col min="2568" max="2568" width="10.33203125" style="364" bestFit="1" customWidth="1"/>
    <col min="2569" max="2569" width="11.6640625" style="364" bestFit="1" customWidth="1"/>
    <col min="2570" max="2571" width="12.88671875" style="364" bestFit="1" customWidth="1"/>
    <col min="2572" max="2572" width="12.44140625" style="364" customWidth="1"/>
    <col min="2573" max="2573" width="11.33203125" style="364" bestFit="1" customWidth="1"/>
    <col min="2574" max="2574" width="11.6640625" style="364" bestFit="1" customWidth="1"/>
    <col min="2575" max="2817" width="9.109375" style="364"/>
    <col min="2818" max="2818" width="31.33203125" style="364" customWidth="1"/>
    <col min="2819" max="2819" width="12.109375" style="364" customWidth="1"/>
    <col min="2820" max="2822" width="10.109375" style="364" bestFit="1" customWidth="1"/>
    <col min="2823" max="2823" width="9.6640625" style="364" bestFit="1" customWidth="1"/>
    <col min="2824" max="2824" width="10.33203125" style="364" bestFit="1" customWidth="1"/>
    <col min="2825" max="2825" width="11.6640625" style="364" bestFit="1" customWidth="1"/>
    <col min="2826" max="2827" width="12.88671875" style="364" bestFit="1" customWidth="1"/>
    <col min="2828" max="2828" width="12.44140625" style="364" customWidth="1"/>
    <col min="2829" max="2829" width="11.33203125" style="364" bestFit="1" customWidth="1"/>
    <col min="2830" max="2830" width="11.6640625" style="364" bestFit="1" customWidth="1"/>
    <col min="2831" max="3073" width="9.109375" style="364"/>
    <col min="3074" max="3074" width="31.33203125" style="364" customWidth="1"/>
    <col min="3075" max="3075" width="12.109375" style="364" customWidth="1"/>
    <col min="3076" max="3078" width="10.109375" style="364" bestFit="1" customWidth="1"/>
    <col min="3079" max="3079" width="9.6640625" style="364" bestFit="1" customWidth="1"/>
    <col min="3080" max="3080" width="10.33203125" style="364" bestFit="1" customWidth="1"/>
    <col min="3081" max="3081" width="11.6640625" style="364" bestFit="1" customWidth="1"/>
    <col min="3082" max="3083" width="12.88671875" style="364" bestFit="1" customWidth="1"/>
    <col min="3084" max="3084" width="12.44140625" style="364" customWidth="1"/>
    <col min="3085" max="3085" width="11.33203125" style="364" bestFit="1" customWidth="1"/>
    <col min="3086" max="3086" width="11.6640625" style="364" bestFit="1" customWidth="1"/>
    <col min="3087" max="3329" width="9.109375" style="364"/>
    <col min="3330" max="3330" width="31.33203125" style="364" customWidth="1"/>
    <col min="3331" max="3331" width="12.109375" style="364" customWidth="1"/>
    <col min="3332" max="3334" width="10.109375" style="364" bestFit="1" customWidth="1"/>
    <col min="3335" max="3335" width="9.6640625" style="364" bestFit="1" customWidth="1"/>
    <col min="3336" max="3336" width="10.33203125" style="364" bestFit="1" customWidth="1"/>
    <col min="3337" max="3337" width="11.6640625" style="364" bestFit="1" customWidth="1"/>
    <col min="3338" max="3339" width="12.88671875" style="364" bestFit="1" customWidth="1"/>
    <col min="3340" max="3340" width="12.44140625" style="364" customWidth="1"/>
    <col min="3341" max="3341" width="11.33203125" style="364" bestFit="1" customWidth="1"/>
    <col min="3342" max="3342" width="11.6640625" style="364" bestFit="1" customWidth="1"/>
    <col min="3343" max="3585" width="9.109375" style="364"/>
    <col min="3586" max="3586" width="31.33203125" style="364" customWidth="1"/>
    <col min="3587" max="3587" width="12.109375" style="364" customWidth="1"/>
    <col min="3588" max="3590" width="10.109375" style="364" bestFit="1" customWidth="1"/>
    <col min="3591" max="3591" width="9.6640625" style="364" bestFit="1" customWidth="1"/>
    <col min="3592" max="3592" width="10.33203125" style="364" bestFit="1" customWidth="1"/>
    <col min="3593" max="3593" width="11.6640625" style="364" bestFit="1" customWidth="1"/>
    <col min="3594" max="3595" width="12.88671875" style="364" bestFit="1" customWidth="1"/>
    <col min="3596" max="3596" width="12.44140625" style="364" customWidth="1"/>
    <col min="3597" max="3597" width="11.33203125" style="364" bestFit="1" customWidth="1"/>
    <col min="3598" max="3598" width="11.6640625" style="364" bestFit="1" customWidth="1"/>
    <col min="3599" max="3841" width="9.109375" style="364"/>
    <col min="3842" max="3842" width="31.33203125" style="364" customWidth="1"/>
    <col min="3843" max="3843" width="12.109375" style="364" customWidth="1"/>
    <col min="3844" max="3846" width="10.109375" style="364" bestFit="1" customWidth="1"/>
    <col min="3847" max="3847" width="9.6640625" style="364" bestFit="1" customWidth="1"/>
    <col min="3848" max="3848" width="10.33203125" style="364" bestFit="1" customWidth="1"/>
    <col min="3849" max="3849" width="11.6640625" style="364" bestFit="1" customWidth="1"/>
    <col min="3850" max="3851" width="12.88671875" style="364" bestFit="1" customWidth="1"/>
    <col min="3852" max="3852" width="12.44140625" style="364" customWidth="1"/>
    <col min="3853" max="3853" width="11.33203125" style="364" bestFit="1" customWidth="1"/>
    <col min="3854" max="3854" width="11.6640625" style="364" bestFit="1" customWidth="1"/>
    <col min="3855" max="4097" width="9.109375" style="364"/>
    <col min="4098" max="4098" width="31.33203125" style="364" customWidth="1"/>
    <col min="4099" max="4099" width="12.109375" style="364" customWidth="1"/>
    <col min="4100" max="4102" width="10.109375" style="364" bestFit="1" customWidth="1"/>
    <col min="4103" max="4103" width="9.6640625" style="364" bestFit="1" customWidth="1"/>
    <col min="4104" max="4104" width="10.33203125" style="364" bestFit="1" customWidth="1"/>
    <col min="4105" max="4105" width="11.6640625" style="364" bestFit="1" customWidth="1"/>
    <col min="4106" max="4107" width="12.88671875" style="364" bestFit="1" customWidth="1"/>
    <col min="4108" max="4108" width="12.44140625" style="364" customWidth="1"/>
    <col min="4109" max="4109" width="11.33203125" style="364" bestFit="1" customWidth="1"/>
    <col min="4110" max="4110" width="11.6640625" style="364" bestFit="1" customWidth="1"/>
    <col min="4111" max="4353" width="9.109375" style="364"/>
    <col min="4354" max="4354" width="31.33203125" style="364" customWidth="1"/>
    <col min="4355" max="4355" width="12.109375" style="364" customWidth="1"/>
    <col min="4356" max="4358" width="10.109375" style="364" bestFit="1" customWidth="1"/>
    <col min="4359" max="4359" width="9.6640625" style="364" bestFit="1" customWidth="1"/>
    <col min="4360" max="4360" width="10.33203125" style="364" bestFit="1" customWidth="1"/>
    <col min="4361" max="4361" width="11.6640625" style="364" bestFit="1" customWidth="1"/>
    <col min="4362" max="4363" width="12.88671875" style="364" bestFit="1" customWidth="1"/>
    <col min="4364" max="4364" width="12.44140625" style="364" customWidth="1"/>
    <col min="4365" max="4365" width="11.33203125" style="364" bestFit="1" customWidth="1"/>
    <col min="4366" max="4366" width="11.6640625" style="364" bestFit="1" customWidth="1"/>
    <col min="4367" max="4609" width="9.109375" style="364"/>
    <col min="4610" max="4610" width="31.33203125" style="364" customWidth="1"/>
    <col min="4611" max="4611" width="12.109375" style="364" customWidth="1"/>
    <col min="4612" max="4614" width="10.109375" style="364" bestFit="1" customWidth="1"/>
    <col min="4615" max="4615" width="9.6640625" style="364" bestFit="1" customWidth="1"/>
    <col min="4616" max="4616" width="10.33203125" style="364" bestFit="1" customWidth="1"/>
    <col min="4617" max="4617" width="11.6640625" style="364" bestFit="1" customWidth="1"/>
    <col min="4618" max="4619" width="12.88671875" style="364" bestFit="1" customWidth="1"/>
    <col min="4620" max="4620" width="12.44140625" style="364" customWidth="1"/>
    <col min="4621" max="4621" width="11.33203125" style="364" bestFit="1" customWidth="1"/>
    <col min="4622" max="4622" width="11.6640625" style="364" bestFit="1" customWidth="1"/>
    <col min="4623" max="4865" width="9.109375" style="364"/>
    <col min="4866" max="4866" width="31.33203125" style="364" customWidth="1"/>
    <col min="4867" max="4867" width="12.109375" style="364" customWidth="1"/>
    <col min="4868" max="4870" width="10.109375" style="364" bestFit="1" customWidth="1"/>
    <col min="4871" max="4871" width="9.6640625" style="364" bestFit="1" customWidth="1"/>
    <col min="4872" max="4872" width="10.33203125" style="364" bestFit="1" customWidth="1"/>
    <col min="4873" max="4873" width="11.6640625" style="364" bestFit="1" customWidth="1"/>
    <col min="4874" max="4875" width="12.88671875" style="364" bestFit="1" customWidth="1"/>
    <col min="4876" max="4876" width="12.44140625" style="364" customWidth="1"/>
    <col min="4877" max="4877" width="11.33203125" style="364" bestFit="1" customWidth="1"/>
    <col min="4878" max="4878" width="11.6640625" style="364" bestFit="1" customWidth="1"/>
    <col min="4879" max="5121" width="9.109375" style="364"/>
    <col min="5122" max="5122" width="31.33203125" style="364" customWidth="1"/>
    <col min="5123" max="5123" width="12.109375" style="364" customWidth="1"/>
    <col min="5124" max="5126" width="10.109375" style="364" bestFit="1" customWidth="1"/>
    <col min="5127" max="5127" width="9.6640625" style="364" bestFit="1" customWidth="1"/>
    <col min="5128" max="5128" width="10.33203125" style="364" bestFit="1" customWidth="1"/>
    <col min="5129" max="5129" width="11.6640625" style="364" bestFit="1" customWidth="1"/>
    <col min="5130" max="5131" width="12.88671875" style="364" bestFit="1" customWidth="1"/>
    <col min="5132" max="5132" width="12.44140625" style="364" customWidth="1"/>
    <col min="5133" max="5133" width="11.33203125" style="364" bestFit="1" customWidth="1"/>
    <col min="5134" max="5134" width="11.6640625" style="364" bestFit="1" customWidth="1"/>
    <col min="5135" max="5377" width="9.109375" style="364"/>
    <col min="5378" max="5378" width="31.33203125" style="364" customWidth="1"/>
    <col min="5379" max="5379" width="12.109375" style="364" customWidth="1"/>
    <col min="5380" max="5382" width="10.109375" style="364" bestFit="1" customWidth="1"/>
    <col min="5383" max="5383" width="9.6640625" style="364" bestFit="1" customWidth="1"/>
    <col min="5384" max="5384" width="10.33203125" style="364" bestFit="1" customWidth="1"/>
    <col min="5385" max="5385" width="11.6640625" style="364" bestFit="1" customWidth="1"/>
    <col min="5386" max="5387" width="12.88671875" style="364" bestFit="1" customWidth="1"/>
    <col min="5388" max="5388" width="12.44140625" style="364" customWidth="1"/>
    <col min="5389" max="5389" width="11.33203125" style="364" bestFit="1" customWidth="1"/>
    <col min="5390" max="5390" width="11.6640625" style="364" bestFit="1" customWidth="1"/>
    <col min="5391" max="5633" width="9.109375" style="364"/>
    <col min="5634" max="5634" width="31.33203125" style="364" customWidth="1"/>
    <col min="5635" max="5635" width="12.109375" style="364" customWidth="1"/>
    <col min="5636" max="5638" width="10.109375" style="364" bestFit="1" customWidth="1"/>
    <col min="5639" max="5639" width="9.6640625" style="364" bestFit="1" customWidth="1"/>
    <col min="5640" max="5640" width="10.33203125" style="364" bestFit="1" customWidth="1"/>
    <col min="5641" max="5641" width="11.6640625" style="364" bestFit="1" customWidth="1"/>
    <col min="5642" max="5643" width="12.88671875" style="364" bestFit="1" customWidth="1"/>
    <col min="5644" max="5644" width="12.44140625" style="364" customWidth="1"/>
    <col min="5645" max="5645" width="11.33203125" style="364" bestFit="1" customWidth="1"/>
    <col min="5646" max="5646" width="11.6640625" style="364" bestFit="1" customWidth="1"/>
    <col min="5647" max="5889" width="9.109375" style="364"/>
    <col min="5890" max="5890" width="31.33203125" style="364" customWidth="1"/>
    <col min="5891" max="5891" width="12.109375" style="364" customWidth="1"/>
    <col min="5892" max="5894" width="10.109375" style="364" bestFit="1" customWidth="1"/>
    <col min="5895" max="5895" width="9.6640625" style="364" bestFit="1" customWidth="1"/>
    <col min="5896" max="5896" width="10.33203125" style="364" bestFit="1" customWidth="1"/>
    <col min="5897" max="5897" width="11.6640625" style="364" bestFit="1" customWidth="1"/>
    <col min="5898" max="5899" width="12.88671875" style="364" bestFit="1" customWidth="1"/>
    <col min="5900" max="5900" width="12.44140625" style="364" customWidth="1"/>
    <col min="5901" max="5901" width="11.33203125" style="364" bestFit="1" customWidth="1"/>
    <col min="5902" max="5902" width="11.6640625" style="364" bestFit="1" customWidth="1"/>
    <col min="5903" max="6145" width="9.109375" style="364"/>
    <col min="6146" max="6146" width="31.33203125" style="364" customWidth="1"/>
    <col min="6147" max="6147" width="12.109375" style="364" customWidth="1"/>
    <col min="6148" max="6150" width="10.109375" style="364" bestFit="1" customWidth="1"/>
    <col min="6151" max="6151" width="9.6640625" style="364" bestFit="1" customWidth="1"/>
    <col min="6152" max="6152" width="10.33203125" style="364" bestFit="1" customWidth="1"/>
    <col min="6153" max="6153" width="11.6640625" style="364" bestFit="1" customWidth="1"/>
    <col min="6154" max="6155" width="12.88671875" style="364" bestFit="1" customWidth="1"/>
    <col min="6156" max="6156" width="12.44140625" style="364" customWidth="1"/>
    <col min="6157" max="6157" width="11.33203125" style="364" bestFit="1" customWidth="1"/>
    <col min="6158" max="6158" width="11.6640625" style="364" bestFit="1" customWidth="1"/>
    <col min="6159" max="6401" width="9.109375" style="364"/>
    <col min="6402" max="6402" width="31.33203125" style="364" customWidth="1"/>
    <col min="6403" max="6403" width="12.109375" style="364" customWidth="1"/>
    <col min="6404" max="6406" width="10.109375" style="364" bestFit="1" customWidth="1"/>
    <col min="6407" max="6407" width="9.6640625" style="364" bestFit="1" customWidth="1"/>
    <col min="6408" max="6408" width="10.33203125" style="364" bestFit="1" customWidth="1"/>
    <col min="6409" max="6409" width="11.6640625" style="364" bestFit="1" customWidth="1"/>
    <col min="6410" max="6411" width="12.88671875" style="364" bestFit="1" customWidth="1"/>
    <col min="6412" max="6412" width="12.44140625" style="364" customWidth="1"/>
    <col min="6413" max="6413" width="11.33203125" style="364" bestFit="1" customWidth="1"/>
    <col min="6414" max="6414" width="11.6640625" style="364" bestFit="1" customWidth="1"/>
    <col min="6415" max="6657" width="9.109375" style="364"/>
    <col min="6658" max="6658" width="31.33203125" style="364" customWidth="1"/>
    <col min="6659" max="6659" width="12.109375" style="364" customWidth="1"/>
    <col min="6660" max="6662" width="10.109375" style="364" bestFit="1" customWidth="1"/>
    <col min="6663" max="6663" width="9.6640625" style="364" bestFit="1" customWidth="1"/>
    <col min="6664" max="6664" width="10.33203125" style="364" bestFit="1" customWidth="1"/>
    <col min="6665" max="6665" width="11.6640625" style="364" bestFit="1" customWidth="1"/>
    <col min="6666" max="6667" width="12.88671875" style="364" bestFit="1" customWidth="1"/>
    <col min="6668" max="6668" width="12.44140625" style="364" customWidth="1"/>
    <col min="6669" max="6669" width="11.33203125" style="364" bestFit="1" customWidth="1"/>
    <col min="6670" max="6670" width="11.6640625" style="364" bestFit="1" customWidth="1"/>
    <col min="6671" max="6913" width="9.109375" style="364"/>
    <col min="6914" max="6914" width="31.33203125" style="364" customWidth="1"/>
    <col min="6915" max="6915" width="12.109375" style="364" customWidth="1"/>
    <col min="6916" max="6918" width="10.109375" style="364" bestFit="1" customWidth="1"/>
    <col min="6919" max="6919" width="9.6640625" style="364" bestFit="1" customWidth="1"/>
    <col min="6920" max="6920" width="10.33203125" style="364" bestFit="1" customWidth="1"/>
    <col min="6921" max="6921" width="11.6640625" style="364" bestFit="1" customWidth="1"/>
    <col min="6922" max="6923" width="12.88671875" style="364" bestFit="1" customWidth="1"/>
    <col min="6924" max="6924" width="12.44140625" style="364" customWidth="1"/>
    <col min="6925" max="6925" width="11.33203125" style="364" bestFit="1" customWidth="1"/>
    <col min="6926" max="6926" width="11.6640625" style="364" bestFit="1" customWidth="1"/>
    <col min="6927" max="7169" width="9.109375" style="364"/>
    <col min="7170" max="7170" width="31.33203125" style="364" customWidth="1"/>
    <col min="7171" max="7171" width="12.109375" style="364" customWidth="1"/>
    <col min="7172" max="7174" width="10.109375" style="364" bestFit="1" customWidth="1"/>
    <col min="7175" max="7175" width="9.6640625" style="364" bestFit="1" customWidth="1"/>
    <col min="7176" max="7176" width="10.33203125" style="364" bestFit="1" customWidth="1"/>
    <col min="7177" max="7177" width="11.6640625" style="364" bestFit="1" customWidth="1"/>
    <col min="7178" max="7179" width="12.88671875" style="364" bestFit="1" customWidth="1"/>
    <col min="7180" max="7180" width="12.44140625" style="364" customWidth="1"/>
    <col min="7181" max="7181" width="11.33203125" style="364" bestFit="1" customWidth="1"/>
    <col min="7182" max="7182" width="11.6640625" style="364" bestFit="1" customWidth="1"/>
    <col min="7183" max="7425" width="9.109375" style="364"/>
    <col min="7426" max="7426" width="31.33203125" style="364" customWidth="1"/>
    <col min="7427" max="7427" width="12.109375" style="364" customWidth="1"/>
    <col min="7428" max="7430" width="10.109375" style="364" bestFit="1" customWidth="1"/>
    <col min="7431" max="7431" width="9.6640625" style="364" bestFit="1" customWidth="1"/>
    <col min="7432" max="7432" width="10.33203125" style="364" bestFit="1" customWidth="1"/>
    <col min="7433" max="7433" width="11.6640625" style="364" bestFit="1" customWidth="1"/>
    <col min="7434" max="7435" width="12.88671875" style="364" bestFit="1" customWidth="1"/>
    <col min="7436" max="7436" width="12.44140625" style="364" customWidth="1"/>
    <col min="7437" max="7437" width="11.33203125" style="364" bestFit="1" customWidth="1"/>
    <col min="7438" max="7438" width="11.6640625" style="364" bestFit="1" customWidth="1"/>
    <col min="7439" max="7681" width="9.109375" style="364"/>
    <col min="7682" max="7682" width="31.33203125" style="364" customWidth="1"/>
    <col min="7683" max="7683" width="12.109375" style="364" customWidth="1"/>
    <col min="7684" max="7686" width="10.109375" style="364" bestFit="1" customWidth="1"/>
    <col min="7687" max="7687" width="9.6640625" style="364" bestFit="1" customWidth="1"/>
    <col min="7688" max="7688" width="10.33203125" style="364" bestFit="1" customWidth="1"/>
    <col min="7689" max="7689" width="11.6640625" style="364" bestFit="1" customWidth="1"/>
    <col min="7690" max="7691" width="12.88671875" style="364" bestFit="1" customWidth="1"/>
    <col min="7692" max="7692" width="12.44140625" style="364" customWidth="1"/>
    <col min="7693" max="7693" width="11.33203125" style="364" bestFit="1" customWidth="1"/>
    <col min="7694" max="7694" width="11.6640625" style="364" bestFit="1" customWidth="1"/>
    <col min="7695" max="7937" width="9.109375" style="364"/>
    <col min="7938" max="7938" width="31.33203125" style="364" customWidth="1"/>
    <col min="7939" max="7939" width="12.109375" style="364" customWidth="1"/>
    <col min="7940" max="7942" width="10.109375" style="364" bestFit="1" customWidth="1"/>
    <col min="7943" max="7943" width="9.6640625" style="364" bestFit="1" customWidth="1"/>
    <col min="7944" max="7944" width="10.33203125" style="364" bestFit="1" customWidth="1"/>
    <col min="7945" max="7945" width="11.6640625" style="364" bestFit="1" customWidth="1"/>
    <col min="7946" max="7947" width="12.88671875" style="364" bestFit="1" customWidth="1"/>
    <col min="7948" max="7948" width="12.44140625" style="364" customWidth="1"/>
    <col min="7949" max="7949" width="11.33203125" style="364" bestFit="1" customWidth="1"/>
    <col min="7950" max="7950" width="11.6640625" style="364" bestFit="1" customWidth="1"/>
    <col min="7951" max="8193" width="9.109375" style="364"/>
    <col min="8194" max="8194" width="31.33203125" style="364" customWidth="1"/>
    <col min="8195" max="8195" width="12.109375" style="364" customWidth="1"/>
    <col min="8196" max="8198" width="10.109375" style="364" bestFit="1" customWidth="1"/>
    <col min="8199" max="8199" width="9.6640625" style="364" bestFit="1" customWidth="1"/>
    <col min="8200" max="8200" width="10.33203125" style="364" bestFit="1" customWidth="1"/>
    <col min="8201" max="8201" width="11.6640625" style="364" bestFit="1" customWidth="1"/>
    <col min="8202" max="8203" width="12.88671875" style="364" bestFit="1" customWidth="1"/>
    <col min="8204" max="8204" width="12.44140625" style="364" customWidth="1"/>
    <col min="8205" max="8205" width="11.33203125" style="364" bestFit="1" customWidth="1"/>
    <col min="8206" max="8206" width="11.6640625" style="364" bestFit="1" customWidth="1"/>
    <col min="8207" max="8449" width="9.109375" style="364"/>
    <col min="8450" max="8450" width="31.33203125" style="364" customWidth="1"/>
    <col min="8451" max="8451" width="12.109375" style="364" customWidth="1"/>
    <col min="8452" max="8454" width="10.109375" style="364" bestFit="1" customWidth="1"/>
    <col min="8455" max="8455" width="9.6640625" style="364" bestFit="1" customWidth="1"/>
    <col min="8456" max="8456" width="10.33203125" style="364" bestFit="1" customWidth="1"/>
    <col min="8457" max="8457" width="11.6640625" style="364" bestFit="1" customWidth="1"/>
    <col min="8458" max="8459" width="12.88671875" style="364" bestFit="1" customWidth="1"/>
    <col min="8460" max="8460" width="12.44140625" style="364" customWidth="1"/>
    <col min="8461" max="8461" width="11.33203125" style="364" bestFit="1" customWidth="1"/>
    <col min="8462" max="8462" width="11.6640625" style="364" bestFit="1" customWidth="1"/>
    <col min="8463" max="8705" width="9.109375" style="364"/>
    <col min="8706" max="8706" width="31.33203125" style="364" customWidth="1"/>
    <col min="8707" max="8707" width="12.109375" style="364" customWidth="1"/>
    <col min="8708" max="8710" width="10.109375" style="364" bestFit="1" customWidth="1"/>
    <col min="8711" max="8711" width="9.6640625" style="364" bestFit="1" customWidth="1"/>
    <col min="8712" max="8712" width="10.33203125" style="364" bestFit="1" customWidth="1"/>
    <col min="8713" max="8713" width="11.6640625" style="364" bestFit="1" customWidth="1"/>
    <col min="8714" max="8715" width="12.88671875" style="364" bestFit="1" customWidth="1"/>
    <col min="8716" max="8716" width="12.44140625" style="364" customWidth="1"/>
    <col min="8717" max="8717" width="11.33203125" style="364" bestFit="1" customWidth="1"/>
    <col min="8718" max="8718" width="11.6640625" style="364" bestFit="1" customWidth="1"/>
    <col min="8719" max="8961" width="9.109375" style="364"/>
    <col min="8962" max="8962" width="31.33203125" style="364" customWidth="1"/>
    <col min="8963" max="8963" width="12.109375" style="364" customWidth="1"/>
    <col min="8964" max="8966" width="10.109375" style="364" bestFit="1" customWidth="1"/>
    <col min="8967" max="8967" width="9.6640625" style="364" bestFit="1" customWidth="1"/>
    <col min="8968" max="8968" width="10.33203125" style="364" bestFit="1" customWidth="1"/>
    <col min="8969" max="8969" width="11.6640625" style="364" bestFit="1" customWidth="1"/>
    <col min="8970" max="8971" width="12.88671875" style="364" bestFit="1" customWidth="1"/>
    <col min="8972" max="8972" width="12.44140625" style="364" customWidth="1"/>
    <col min="8973" max="8973" width="11.33203125" style="364" bestFit="1" customWidth="1"/>
    <col min="8974" max="8974" width="11.6640625" style="364" bestFit="1" customWidth="1"/>
    <col min="8975" max="9217" width="9.109375" style="364"/>
    <col min="9218" max="9218" width="31.33203125" style="364" customWidth="1"/>
    <col min="9219" max="9219" width="12.109375" style="364" customWidth="1"/>
    <col min="9220" max="9222" width="10.109375" style="364" bestFit="1" customWidth="1"/>
    <col min="9223" max="9223" width="9.6640625" style="364" bestFit="1" customWidth="1"/>
    <col min="9224" max="9224" width="10.33203125" style="364" bestFit="1" customWidth="1"/>
    <col min="9225" max="9225" width="11.6640625" style="364" bestFit="1" customWidth="1"/>
    <col min="9226" max="9227" width="12.88671875" style="364" bestFit="1" customWidth="1"/>
    <col min="9228" max="9228" width="12.44140625" style="364" customWidth="1"/>
    <col min="9229" max="9229" width="11.33203125" style="364" bestFit="1" customWidth="1"/>
    <col min="9230" max="9230" width="11.6640625" style="364" bestFit="1" customWidth="1"/>
    <col min="9231" max="9473" width="9.109375" style="364"/>
    <col min="9474" max="9474" width="31.33203125" style="364" customWidth="1"/>
    <col min="9475" max="9475" width="12.109375" style="364" customWidth="1"/>
    <col min="9476" max="9478" width="10.109375" style="364" bestFit="1" customWidth="1"/>
    <col min="9479" max="9479" width="9.6640625" style="364" bestFit="1" customWidth="1"/>
    <col min="9480" max="9480" width="10.33203125" style="364" bestFit="1" customWidth="1"/>
    <col min="9481" max="9481" width="11.6640625" style="364" bestFit="1" customWidth="1"/>
    <col min="9482" max="9483" width="12.88671875" style="364" bestFit="1" customWidth="1"/>
    <col min="9484" max="9484" width="12.44140625" style="364" customWidth="1"/>
    <col min="9485" max="9485" width="11.33203125" style="364" bestFit="1" customWidth="1"/>
    <col min="9486" max="9486" width="11.6640625" style="364" bestFit="1" customWidth="1"/>
    <col min="9487" max="9729" width="9.109375" style="364"/>
    <col min="9730" max="9730" width="31.33203125" style="364" customWidth="1"/>
    <col min="9731" max="9731" width="12.109375" style="364" customWidth="1"/>
    <col min="9732" max="9734" width="10.109375" style="364" bestFit="1" customWidth="1"/>
    <col min="9735" max="9735" width="9.6640625" style="364" bestFit="1" customWidth="1"/>
    <col min="9736" max="9736" width="10.33203125" style="364" bestFit="1" customWidth="1"/>
    <col min="9737" max="9737" width="11.6640625" style="364" bestFit="1" customWidth="1"/>
    <col min="9738" max="9739" width="12.88671875" style="364" bestFit="1" customWidth="1"/>
    <col min="9740" max="9740" width="12.44140625" style="364" customWidth="1"/>
    <col min="9741" max="9741" width="11.33203125" style="364" bestFit="1" customWidth="1"/>
    <col min="9742" max="9742" width="11.6640625" style="364" bestFit="1" customWidth="1"/>
    <col min="9743" max="9985" width="9.109375" style="364"/>
    <col min="9986" max="9986" width="31.33203125" style="364" customWidth="1"/>
    <col min="9987" max="9987" width="12.109375" style="364" customWidth="1"/>
    <col min="9988" max="9990" width="10.109375" style="364" bestFit="1" customWidth="1"/>
    <col min="9991" max="9991" width="9.6640625" style="364" bestFit="1" customWidth="1"/>
    <col min="9992" max="9992" width="10.33203125" style="364" bestFit="1" customWidth="1"/>
    <col min="9993" max="9993" width="11.6640625" style="364" bestFit="1" customWidth="1"/>
    <col min="9994" max="9995" width="12.88671875" style="364" bestFit="1" customWidth="1"/>
    <col min="9996" max="9996" width="12.44140625" style="364" customWidth="1"/>
    <col min="9997" max="9997" width="11.33203125" style="364" bestFit="1" customWidth="1"/>
    <col min="9998" max="9998" width="11.6640625" style="364" bestFit="1" customWidth="1"/>
    <col min="9999" max="10241" width="9.109375" style="364"/>
    <col min="10242" max="10242" width="31.33203125" style="364" customWidth="1"/>
    <col min="10243" max="10243" width="12.109375" style="364" customWidth="1"/>
    <col min="10244" max="10246" width="10.109375" style="364" bestFit="1" customWidth="1"/>
    <col min="10247" max="10247" width="9.6640625" style="364" bestFit="1" customWidth="1"/>
    <col min="10248" max="10248" width="10.33203125" style="364" bestFit="1" customWidth="1"/>
    <col min="10249" max="10249" width="11.6640625" style="364" bestFit="1" customWidth="1"/>
    <col min="10250" max="10251" width="12.88671875" style="364" bestFit="1" customWidth="1"/>
    <col min="10252" max="10252" width="12.44140625" style="364" customWidth="1"/>
    <col min="10253" max="10253" width="11.33203125" style="364" bestFit="1" customWidth="1"/>
    <col min="10254" max="10254" width="11.6640625" style="364" bestFit="1" customWidth="1"/>
    <col min="10255" max="10497" width="9.109375" style="364"/>
    <col min="10498" max="10498" width="31.33203125" style="364" customWidth="1"/>
    <col min="10499" max="10499" width="12.109375" style="364" customWidth="1"/>
    <col min="10500" max="10502" width="10.109375" style="364" bestFit="1" customWidth="1"/>
    <col min="10503" max="10503" width="9.6640625" style="364" bestFit="1" customWidth="1"/>
    <col min="10504" max="10504" width="10.33203125" style="364" bestFit="1" customWidth="1"/>
    <col min="10505" max="10505" width="11.6640625" style="364" bestFit="1" customWidth="1"/>
    <col min="10506" max="10507" width="12.88671875" style="364" bestFit="1" customWidth="1"/>
    <col min="10508" max="10508" width="12.44140625" style="364" customWidth="1"/>
    <col min="10509" max="10509" width="11.33203125" style="364" bestFit="1" customWidth="1"/>
    <col min="10510" max="10510" width="11.6640625" style="364" bestFit="1" customWidth="1"/>
    <col min="10511" max="10753" width="9.109375" style="364"/>
    <col min="10754" max="10754" width="31.33203125" style="364" customWidth="1"/>
    <col min="10755" max="10755" width="12.109375" style="364" customWidth="1"/>
    <col min="10756" max="10758" width="10.109375" style="364" bestFit="1" customWidth="1"/>
    <col min="10759" max="10759" width="9.6640625" style="364" bestFit="1" customWidth="1"/>
    <col min="10760" max="10760" width="10.33203125" style="364" bestFit="1" customWidth="1"/>
    <col min="10761" max="10761" width="11.6640625" style="364" bestFit="1" customWidth="1"/>
    <col min="10762" max="10763" width="12.88671875" style="364" bestFit="1" customWidth="1"/>
    <col min="10764" max="10764" width="12.44140625" style="364" customWidth="1"/>
    <col min="10765" max="10765" width="11.33203125" style="364" bestFit="1" customWidth="1"/>
    <col min="10766" max="10766" width="11.6640625" style="364" bestFit="1" customWidth="1"/>
    <col min="10767" max="11009" width="9.109375" style="364"/>
    <col min="11010" max="11010" width="31.33203125" style="364" customWidth="1"/>
    <col min="11011" max="11011" width="12.109375" style="364" customWidth="1"/>
    <col min="11012" max="11014" width="10.109375" style="364" bestFit="1" customWidth="1"/>
    <col min="11015" max="11015" width="9.6640625" style="364" bestFit="1" customWidth="1"/>
    <col min="11016" max="11016" width="10.33203125" style="364" bestFit="1" customWidth="1"/>
    <col min="11017" max="11017" width="11.6640625" style="364" bestFit="1" customWidth="1"/>
    <col min="11018" max="11019" width="12.88671875" style="364" bestFit="1" customWidth="1"/>
    <col min="11020" max="11020" width="12.44140625" style="364" customWidth="1"/>
    <col min="11021" max="11021" width="11.33203125" style="364" bestFit="1" customWidth="1"/>
    <col min="11022" max="11022" width="11.6640625" style="364" bestFit="1" customWidth="1"/>
    <col min="11023" max="11265" width="9.109375" style="364"/>
    <col min="11266" max="11266" width="31.33203125" style="364" customWidth="1"/>
    <col min="11267" max="11267" width="12.109375" style="364" customWidth="1"/>
    <col min="11268" max="11270" width="10.109375" style="364" bestFit="1" customWidth="1"/>
    <col min="11271" max="11271" width="9.6640625" style="364" bestFit="1" customWidth="1"/>
    <col min="11272" max="11272" width="10.33203125" style="364" bestFit="1" customWidth="1"/>
    <col min="11273" max="11273" width="11.6640625" style="364" bestFit="1" customWidth="1"/>
    <col min="11274" max="11275" width="12.88671875" style="364" bestFit="1" customWidth="1"/>
    <col min="11276" max="11276" width="12.44140625" style="364" customWidth="1"/>
    <col min="11277" max="11277" width="11.33203125" style="364" bestFit="1" customWidth="1"/>
    <col min="11278" max="11278" width="11.6640625" style="364" bestFit="1" customWidth="1"/>
    <col min="11279" max="11521" width="9.109375" style="364"/>
    <col min="11522" max="11522" width="31.33203125" style="364" customWidth="1"/>
    <col min="11523" max="11523" width="12.109375" style="364" customWidth="1"/>
    <col min="11524" max="11526" width="10.109375" style="364" bestFit="1" customWidth="1"/>
    <col min="11527" max="11527" width="9.6640625" style="364" bestFit="1" customWidth="1"/>
    <col min="11528" max="11528" width="10.33203125" style="364" bestFit="1" customWidth="1"/>
    <col min="11529" max="11529" width="11.6640625" style="364" bestFit="1" customWidth="1"/>
    <col min="11530" max="11531" width="12.88671875" style="364" bestFit="1" customWidth="1"/>
    <col min="11532" max="11532" width="12.44140625" style="364" customWidth="1"/>
    <col min="11533" max="11533" width="11.33203125" style="364" bestFit="1" customWidth="1"/>
    <col min="11534" max="11534" width="11.6640625" style="364" bestFit="1" customWidth="1"/>
    <col min="11535" max="11777" width="9.109375" style="364"/>
    <col min="11778" max="11778" width="31.33203125" style="364" customWidth="1"/>
    <col min="11779" max="11779" width="12.109375" style="364" customWidth="1"/>
    <col min="11780" max="11782" width="10.109375" style="364" bestFit="1" customWidth="1"/>
    <col min="11783" max="11783" width="9.6640625" style="364" bestFit="1" customWidth="1"/>
    <col min="11784" max="11784" width="10.33203125" style="364" bestFit="1" customWidth="1"/>
    <col min="11785" max="11785" width="11.6640625" style="364" bestFit="1" customWidth="1"/>
    <col min="11786" max="11787" width="12.88671875" style="364" bestFit="1" customWidth="1"/>
    <col min="11788" max="11788" width="12.44140625" style="364" customWidth="1"/>
    <col min="11789" max="11789" width="11.33203125" style="364" bestFit="1" customWidth="1"/>
    <col min="11790" max="11790" width="11.6640625" style="364" bestFit="1" customWidth="1"/>
    <col min="11791" max="12033" width="9.109375" style="364"/>
    <col min="12034" max="12034" width="31.33203125" style="364" customWidth="1"/>
    <col min="12035" max="12035" width="12.109375" style="364" customWidth="1"/>
    <col min="12036" max="12038" width="10.109375" style="364" bestFit="1" customWidth="1"/>
    <col min="12039" max="12039" width="9.6640625" style="364" bestFit="1" customWidth="1"/>
    <col min="12040" max="12040" width="10.33203125" style="364" bestFit="1" customWidth="1"/>
    <col min="12041" max="12041" width="11.6640625" style="364" bestFit="1" customWidth="1"/>
    <col min="12042" max="12043" width="12.88671875" style="364" bestFit="1" customWidth="1"/>
    <col min="12044" max="12044" width="12.44140625" style="364" customWidth="1"/>
    <col min="12045" max="12045" width="11.33203125" style="364" bestFit="1" customWidth="1"/>
    <col min="12046" max="12046" width="11.6640625" style="364" bestFit="1" customWidth="1"/>
    <col min="12047" max="12289" width="9.109375" style="364"/>
    <col min="12290" max="12290" width="31.33203125" style="364" customWidth="1"/>
    <col min="12291" max="12291" width="12.109375" style="364" customWidth="1"/>
    <col min="12292" max="12294" width="10.109375" style="364" bestFit="1" customWidth="1"/>
    <col min="12295" max="12295" width="9.6640625" style="364" bestFit="1" customWidth="1"/>
    <col min="12296" max="12296" width="10.33203125" style="364" bestFit="1" customWidth="1"/>
    <col min="12297" max="12297" width="11.6640625" style="364" bestFit="1" customWidth="1"/>
    <col min="12298" max="12299" width="12.88671875" style="364" bestFit="1" customWidth="1"/>
    <col min="12300" max="12300" width="12.44140625" style="364" customWidth="1"/>
    <col min="12301" max="12301" width="11.33203125" style="364" bestFit="1" customWidth="1"/>
    <col min="12302" max="12302" width="11.6640625" style="364" bestFit="1" customWidth="1"/>
    <col min="12303" max="12545" width="9.109375" style="364"/>
    <col min="12546" max="12546" width="31.33203125" style="364" customWidth="1"/>
    <col min="12547" max="12547" width="12.109375" style="364" customWidth="1"/>
    <col min="12548" max="12550" width="10.109375" style="364" bestFit="1" customWidth="1"/>
    <col min="12551" max="12551" width="9.6640625" style="364" bestFit="1" customWidth="1"/>
    <col min="12552" max="12552" width="10.33203125" style="364" bestFit="1" customWidth="1"/>
    <col min="12553" max="12553" width="11.6640625" style="364" bestFit="1" customWidth="1"/>
    <col min="12554" max="12555" width="12.88671875" style="364" bestFit="1" customWidth="1"/>
    <col min="12556" max="12556" width="12.44140625" style="364" customWidth="1"/>
    <col min="12557" max="12557" width="11.33203125" style="364" bestFit="1" customWidth="1"/>
    <col min="12558" max="12558" width="11.6640625" style="364" bestFit="1" customWidth="1"/>
    <col min="12559" max="12801" width="9.109375" style="364"/>
    <col min="12802" max="12802" width="31.33203125" style="364" customWidth="1"/>
    <col min="12803" max="12803" width="12.109375" style="364" customWidth="1"/>
    <col min="12804" max="12806" width="10.109375" style="364" bestFit="1" customWidth="1"/>
    <col min="12807" max="12807" width="9.6640625" style="364" bestFit="1" customWidth="1"/>
    <col min="12808" max="12808" width="10.33203125" style="364" bestFit="1" customWidth="1"/>
    <col min="12809" max="12809" width="11.6640625" style="364" bestFit="1" customWidth="1"/>
    <col min="12810" max="12811" width="12.88671875" style="364" bestFit="1" customWidth="1"/>
    <col min="12812" max="12812" width="12.44140625" style="364" customWidth="1"/>
    <col min="12813" max="12813" width="11.33203125" style="364" bestFit="1" customWidth="1"/>
    <col min="12814" max="12814" width="11.6640625" style="364" bestFit="1" customWidth="1"/>
    <col min="12815" max="13057" width="9.109375" style="364"/>
    <col min="13058" max="13058" width="31.33203125" style="364" customWidth="1"/>
    <col min="13059" max="13059" width="12.109375" style="364" customWidth="1"/>
    <col min="13060" max="13062" width="10.109375" style="364" bestFit="1" customWidth="1"/>
    <col min="13063" max="13063" width="9.6640625" style="364" bestFit="1" customWidth="1"/>
    <col min="13064" max="13064" width="10.33203125" style="364" bestFit="1" customWidth="1"/>
    <col min="13065" max="13065" width="11.6640625" style="364" bestFit="1" customWidth="1"/>
    <col min="13066" max="13067" width="12.88671875" style="364" bestFit="1" customWidth="1"/>
    <col min="13068" max="13068" width="12.44140625" style="364" customWidth="1"/>
    <col min="13069" max="13069" width="11.33203125" style="364" bestFit="1" customWidth="1"/>
    <col min="13070" max="13070" width="11.6640625" style="364" bestFit="1" customWidth="1"/>
    <col min="13071" max="13313" width="9.109375" style="364"/>
    <col min="13314" max="13314" width="31.33203125" style="364" customWidth="1"/>
    <col min="13315" max="13315" width="12.109375" style="364" customWidth="1"/>
    <col min="13316" max="13318" width="10.109375" style="364" bestFit="1" customWidth="1"/>
    <col min="13319" max="13319" width="9.6640625" style="364" bestFit="1" customWidth="1"/>
    <col min="13320" max="13320" width="10.33203125" style="364" bestFit="1" customWidth="1"/>
    <col min="13321" max="13321" width="11.6640625" style="364" bestFit="1" customWidth="1"/>
    <col min="13322" max="13323" width="12.88671875" style="364" bestFit="1" customWidth="1"/>
    <col min="13324" max="13324" width="12.44140625" style="364" customWidth="1"/>
    <col min="13325" max="13325" width="11.33203125" style="364" bestFit="1" customWidth="1"/>
    <col min="13326" max="13326" width="11.6640625" style="364" bestFit="1" customWidth="1"/>
    <col min="13327" max="13569" width="9.109375" style="364"/>
    <col min="13570" max="13570" width="31.33203125" style="364" customWidth="1"/>
    <col min="13571" max="13571" width="12.109375" style="364" customWidth="1"/>
    <col min="13572" max="13574" width="10.109375" style="364" bestFit="1" customWidth="1"/>
    <col min="13575" max="13575" width="9.6640625" style="364" bestFit="1" customWidth="1"/>
    <col min="13576" max="13576" width="10.33203125" style="364" bestFit="1" customWidth="1"/>
    <col min="13577" max="13577" width="11.6640625" style="364" bestFit="1" customWidth="1"/>
    <col min="13578" max="13579" width="12.88671875" style="364" bestFit="1" customWidth="1"/>
    <col min="13580" max="13580" width="12.44140625" style="364" customWidth="1"/>
    <col min="13581" max="13581" width="11.33203125" style="364" bestFit="1" customWidth="1"/>
    <col min="13582" max="13582" width="11.6640625" style="364" bestFit="1" customWidth="1"/>
    <col min="13583" max="13825" width="9.109375" style="364"/>
    <col min="13826" max="13826" width="31.33203125" style="364" customWidth="1"/>
    <col min="13827" max="13827" width="12.109375" style="364" customWidth="1"/>
    <col min="13828" max="13830" width="10.109375" style="364" bestFit="1" customWidth="1"/>
    <col min="13831" max="13831" width="9.6640625" style="364" bestFit="1" customWidth="1"/>
    <col min="13832" max="13832" width="10.33203125" style="364" bestFit="1" customWidth="1"/>
    <col min="13833" max="13833" width="11.6640625" style="364" bestFit="1" customWidth="1"/>
    <col min="13834" max="13835" width="12.88671875" style="364" bestFit="1" customWidth="1"/>
    <col min="13836" max="13836" width="12.44140625" style="364" customWidth="1"/>
    <col min="13837" max="13837" width="11.33203125" style="364" bestFit="1" customWidth="1"/>
    <col min="13838" max="13838" width="11.6640625" style="364" bestFit="1" customWidth="1"/>
    <col min="13839" max="14081" width="9.109375" style="364"/>
    <col min="14082" max="14082" width="31.33203125" style="364" customWidth="1"/>
    <col min="14083" max="14083" width="12.109375" style="364" customWidth="1"/>
    <col min="14084" max="14086" width="10.109375" style="364" bestFit="1" customWidth="1"/>
    <col min="14087" max="14087" width="9.6640625" style="364" bestFit="1" customWidth="1"/>
    <col min="14088" max="14088" width="10.33203125" style="364" bestFit="1" customWidth="1"/>
    <col min="14089" max="14089" width="11.6640625" style="364" bestFit="1" customWidth="1"/>
    <col min="14090" max="14091" width="12.88671875" style="364" bestFit="1" customWidth="1"/>
    <col min="14092" max="14092" width="12.44140625" style="364" customWidth="1"/>
    <col min="14093" max="14093" width="11.33203125" style="364" bestFit="1" customWidth="1"/>
    <col min="14094" max="14094" width="11.6640625" style="364" bestFit="1" customWidth="1"/>
    <col min="14095" max="14337" width="9.109375" style="364"/>
    <col min="14338" max="14338" width="31.33203125" style="364" customWidth="1"/>
    <col min="14339" max="14339" width="12.109375" style="364" customWidth="1"/>
    <col min="14340" max="14342" width="10.109375" style="364" bestFit="1" customWidth="1"/>
    <col min="14343" max="14343" width="9.6640625" style="364" bestFit="1" customWidth="1"/>
    <col min="14344" max="14344" width="10.33203125" style="364" bestFit="1" customWidth="1"/>
    <col min="14345" max="14345" width="11.6640625" style="364" bestFit="1" customWidth="1"/>
    <col min="14346" max="14347" width="12.88671875" style="364" bestFit="1" customWidth="1"/>
    <col min="14348" max="14348" width="12.44140625" style="364" customWidth="1"/>
    <col min="14349" max="14349" width="11.33203125" style="364" bestFit="1" customWidth="1"/>
    <col min="14350" max="14350" width="11.6640625" style="364" bestFit="1" customWidth="1"/>
    <col min="14351" max="14593" width="9.109375" style="364"/>
    <col min="14594" max="14594" width="31.33203125" style="364" customWidth="1"/>
    <col min="14595" max="14595" width="12.109375" style="364" customWidth="1"/>
    <col min="14596" max="14598" width="10.109375" style="364" bestFit="1" customWidth="1"/>
    <col min="14599" max="14599" width="9.6640625" style="364" bestFit="1" customWidth="1"/>
    <col min="14600" max="14600" width="10.33203125" style="364" bestFit="1" customWidth="1"/>
    <col min="14601" max="14601" width="11.6640625" style="364" bestFit="1" customWidth="1"/>
    <col min="14602" max="14603" width="12.88671875" style="364" bestFit="1" customWidth="1"/>
    <col min="14604" max="14604" width="12.44140625" style="364" customWidth="1"/>
    <col min="14605" max="14605" width="11.33203125" style="364" bestFit="1" customWidth="1"/>
    <col min="14606" max="14606" width="11.6640625" style="364" bestFit="1" customWidth="1"/>
    <col min="14607" max="14849" width="9.109375" style="364"/>
    <col min="14850" max="14850" width="31.33203125" style="364" customWidth="1"/>
    <col min="14851" max="14851" width="12.109375" style="364" customWidth="1"/>
    <col min="14852" max="14854" width="10.109375" style="364" bestFit="1" customWidth="1"/>
    <col min="14855" max="14855" width="9.6640625" style="364" bestFit="1" customWidth="1"/>
    <col min="14856" max="14856" width="10.33203125" style="364" bestFit="1" customWidth="1"/>
    <col min="14857" max="14857" width="11.6640625" style="364" bestFit="1" customWidth="1"/>
    <col min="14858" max="14859" width="12.88671875" style="364" bestFit="1" customWidth="1"/>
    <col min="14860" max="14860" width="12.44140625" style="364" customWidth="1"/>
    <col min="14861" max="14861" width="11.33203125" style="364" bestFit="1" customWidth="1"/>
    <col min="14862" max="14862" width="11.6640625" style="364" bestFit="1" customWidth="1"/>
    <col min="14863" max="15105" width="9.109375" style="364"/>
    <col min="15106" max="15106" width="31.33203125" style="364" customWidth="1"/>
    <col min="15107" max="15107" width="12.109375" style="364" customWidth="1"/>
    <col min="15108" max="15110" width="10.109375" style="364" bestFit="1" customWidth="1"/>
    <col min="15111" max="15111" width="9.6640625" style="364" bestFit="1" customWidth="1"/>
    <col min="15112" max="15112" width="10.33203125" style="364" bestFit="1" customWidth="1"/>
    <col min="15113" max="15113" width="11.6640625" style="364" bestFit="1" customWidth="1"/>
    <col min="15114" max="15115" width="12.88671875" style="364" bestFit="1" customWidth="1"/>
    <col min="15116" max="15116" width="12.44140625" style="364" customWidth="1"/>
    <col min="15117" max="15117" width="11.33203125" style="364" bestFit="1" customWidth="1"/>
    <col min="15118" max="15118" width="11.6640625" style="364" bestFit="1" customWidth="1"/>
    <col min="15119" max="15361" width="9.109375" style="364"/>
    <col min="15362" max="15362" width="31.33203125" style="364" customWidth="1"/>
    <col min="15363" max="15363" width="12.109375" style="364" customWidth="1"/>
    <col min="15364" max="15366" width="10.109375" style="364" bestFit="1" customWidth="1"/>
    <col min="15367" max="15367" width="9.6640625" style="364" bestFit="1" customWidth="1"/>
    <col min="15368" max="15368" width="10.33203125" style="364" bestFit="1" customWidth="1"/>
    <col min="15369" max="15369" width="11.6640625" style="364" bestFit="1" customWidth="1"/>
    <col min="15370" max="15371" width="12.88671875" style="364" bestFit="1" customWidth="1"/>
    <col min="15372" max="15372" width="12.44140625" style="364" customWidth="1"/>
    <col min="15373" max="15373" width="11.33203125" style="364" bestFit="1" customWidth="1"/>
    <col min="15374" max="15374" width="11.6640625" style="364" bestFit="1" customWidth="1"/>
    <col min="15375" max="15617" width="9.109375" style="364"/>
    <col min="15618" max="15618" width="31.33203125" style="364" customWidth="1"/>
    <col min="15619" max="15619" width="12.109375" style="364" customWidth="1"/>
    <col min="15620" max="15622" width="10.109375" style="364" bestFit="1" customWidth="1"/>
    <col min="15623" max="15623" width="9.6640625" style="364" bestFit="1" customWidth="1"/>
    <col min="15624" max="15624" width="10.33203125" style="364" bestFit="1" customWidth="1"/>
    <col min="15625" max="15625" width="11.6640625" style="364" bestFit="1" customWidth="1"/>
    <col min="15626" max="15627" width="12.88671875" style="364" bestFit="1" customWidth="1"/>
    <col min="15628" max="15628" width="12.44140625" style="364" customWidth="1"/>
    <col min="15629" max="15629" width="11.33203125" style="364" bestFit="1" customWidth="1"/>
    <col min="15630" max="15630" width="11.6640625" style="364" bestFit="1" customWidth="1"/>
    <col min="15631" max="15873" width="9.109375" style="364"/>
    <col min="15874" max="15874" width="31.33203125" style="364" customWidth="1"/>
    <col min="15875" max="15875" width="12.109375" style="364" customWidth="1"/>
    <col min="15876" max="15878" width="10.109375" style="364" bestFit="1" customWidth="1"/>
    <col min="15879" max="15879" width="9.6640625" style="364" bestFit="1" customWidth="1"/>
    <col min="15880" max="15880" width="10.33203125" style="364" bestFit="1" customWidth="1"/>
    <col min="15881" max="15881" width="11.6640625" style="364" bestFit="1" customWidth="1"/>
    <col min="15882" max="15883" width="12.88671875" style="364" bestFit="1" customWidth="1"/>
    <col min="15884" max="15884" width="12.44140625" style="364" customWidth="1"/>
    <col min="15885" max="15885" width="11.33203125" style="364" bestFit="1" customWidth="1"/>
    <col min="15886" max="15886" width="11.6640625" style="364" bestFit="1" customWidth="1"/>
    <col min="15887" max="16129" width="9.109375" style="364"/>
    <col min="16130" max="16130" width="31.33203125" style="364" customWidth="1"/>
    <col min="16131" max="16131" width="12.109375" style="364" customWidth="1"/>
    <col min="16132" max="16134" width="10.109375" style="364" bestFit="1" customWidth="1"/>
    <col min="16135" max="16135" width="9.6640625" style="364" bestFit="1" customWidth="1"/>
    <col min="16136" max="16136" width="10.33203125" style="364" bestFit="1" customWidth="1"/>
    <col min="16137" max="16137" width="11.6640625" style="364" bestFit="1" customWidth="1"/>
    <col min="16138" max="16139" width="12.88671875" style="364" bestFit="1" customWidth="1"/>
    <col min="16140" max="16140" width="12.44140625" style="364" customWidth="1"/>
    <col min="16141" max="16141" width="11.33203125" style="364" bestFit="1" customWidth="1"/>
    <col min="16142" max="16142" width="11.6640625" style="364" bestFit="1" customWidth="1"/>
    <col min="16143" max="16384" width="9.109375" style="364"/>
  </cols>
  <sheetData>
    <row r="1" spans="1:14" ht="12.75" customHeight="1">
      <c r="A1" s="1524" t="s">
        <v>568</v>
      </c>
      <c r="B1" s="1525"/>
      <c r="C1" s="1525"/>
      <c r="D1" s="1525"/>
      <c r="E1" s="1525"/>
      <c r="F1" s="1525"/>
      <c r="G1" s="1525"/>
      <c r="H1" s="1526"/>
      <c r="I1" s="1527" t="s">
        <v>319</v>
      </c>
      <c r="J1" s="1528"/>
      <c r="K1" s="1528"/>
      <c r="L1" s="1528"/>
      <c r="M1" s="1528"/>
      <c r="N1" s="1531">
        <f>'F1  Cover'!A16</f>
        <v>3300</v>
      </c>
    </row>
    <row r="2" spans="1:14">
      <c r="A2" s="1533"/>
      <c r="B2" s="1534"/>
      <c r="C2" s="1534"/>
      <c r="D2" s="1534"/>
      <c r="E2" s="1534"/>
      <c r="F2" s="1534"/>
      <c r="G2" s="1534"/>
      <c r="H2" s="1534"/>
      <c r="I2" s="1529"/>
      <c r="J2" s="1530"/>
      <c r="K2" s="1530"/>
      <c r="L2" s="1530"/>
      <c r="M2" s="1530"/>
      <c r="N2" s="1532"/>
    </row>
    <row r="3" spans="1:14">
      <c r="A3" s="464" t="s">
        <v>444</v>
      </c>
      <c r="B3" s="463" t="str">
        <f>'F1 Forecast Consultant'!C3</f>
        <v>WESTERN</v>
      </c>
      <c r="H3" s="279"/>
      <c r="I3" s="1535" t="s">
        <v>320</v>
      </c>
      <c r="J3" s="1536"/>
      <c r="K3" s="1518">
        <f>'F1  Cover'!K8</f>
        <v>1</v>
      </c>
      <c r="L3" s="1519"/>
      <c r="M3" s="1519"/>
      <c r="N3" s="1520"/>
    </row>
    <row r="4" spans="1:14" ht="13.8" thickBot="1">
      <c r="A4" s="1537"/>
      <c r="B4" s="1538"/>
      <c r="C4" s="1538"/>
      <c r="D4" s="1538"/>
      <c r="E4" s="1538"/>
      <c r="F4" s="1538"/>
      <c r="G4" s="1538"/>
      <c r="H4" s="1538"/>
      <c r="I4" s="1539" t="s">
        <v>321</v>
      </c>
      <c r="J4" s="1540"/>
      <c r="K4" s="1541" t="str">
        <f>'F1 Forecast Combined'!E3</f>
        <v>X.002-180-2024/1RF</v>
      </c>
      <c r="L4" s="1541"/>
      <c r="M4" s="1541"/>
      <c r="N4" s="1542"/>
    </row>
    <row r="5" spans="1:14" ht="13.8" thickBot="1">
      <c r="A5" s="442" t="s">
        <v>322</v>
      </c>
      <c r="B5" s="443"/>
      <c r="C5" s="443"/>
      <c r="D5" s="443"/>
      <c r="E5" s="443"/>
      <c r="F5" s="443"/>
      <c r="G5" s="443"/>
      <c r="H5" s="443"/>
      <c r="I5" s="443"/>
      <c r="J5" s="443"/>
      <c r="K5" s="443"/>
      <c r="L5" s="443"/>
      <c r="M5" s="443"/>
      <c r="N5" s="444"/>
    </row>
    <row r="6" spans="1:14" ht="40.200000000000003" thickBot="1">
      <c r="A6" s="445" t="s">
        <v>93</v>
      </c>
      <c r="B6" s="446" t="s">
        <v>0</v>
      </c>
      <c r="C6" s="447" t="s">
        <v>1</v>
      </c>
      <c r="D6" s="435" t="s">
        <v>323</v>
      </c>
      <c r="E6" s="436" t="s">
        <v>324</v>
      </c>
      <c r="F6" s="436" t="s">
        <v>325</v>
      </c>
      <c r="G6" s="436" t="s">
        <v>326</v>
      </c>
      <c r="H6" s="437" t="s">
        <v>327</v>
      </c>
      <c r="I6" s="448" t="s">
        <v>3</v>
      </c>
      <c r="J6" s="436" t="s">
        <v>328</v>
      </c>
      <c r="K6" s="436" t="s">
        <v>329</v>
      </c>
      <c r="L6" s="436" t="s">
        <v>330</v>
      </c>
      <c r="M6" s="436" t="s">
        <v>331</v>
      </c>
      <c r="N6" s="437" t="s">
        <v>332</v>
      </c>
    </row>
    <row r="7" spans="1:14" ht="31.5" customHeight="1">
      <c r="A7" s="366">
        <f>'RRM Pricing Schedule'!A35</f>
        <v>3300</v>
      </c>
      <c r="B7" s="367" t="str">
        <f>'RRM Pricing Schedule'!B35</f>
        <v>TENDER DOCUMENTATION</v>
      </c>
      <c r="C7" s="379"/>
      <c r="D7" s="385"/>
      <c r="E7" s="368"/>
      <c r="F7" s="368"/>
      <c r="G7" s="368"/>
      <c r="H7" s="386"/>
      <c r="I7" s="449"/>
      <c r="J7" s="368"/>
      <c r="K7" s="368"/>
      <c r="L7" s="368"/>
      <c r="M7" s="368"/>
      <c r="N7" s="450"/>
    </row>
    <row r="8" spans="1:14" ht="31.5" customHeight="1">
      <c r="A8" s="451">
        <f>'RRM Pricing Schedule'!A36</f>
        <v>33.01</v>
      </c>
      <c r="B8" s="371" t="str">
        <f>'RRM Pricing Schedule'!B36</f>
        <v>Tender Documentation:</v>
      </c>
      <c r="C8" s="380"/>
      <c r="D8" s="387"/>
      <c r="E8" s="372"/>
      <c r="F8" s="372"/>
      <c r="G8" s="372"/>
      <c r="H8" s="373"/>
      <c r="I8" s="452"/>
      <c r="J8" s="372"/>
      <c r="K8" s="372"/>
      <c r="L8" s="372"/>
      <c r="M8" s="372"/>
      <c r="N8" s="453"/>
    </row>
    <row r="9" spans="1:14" ht="31.5" customHeight="1">
      <c r="A9" s="516"/>
      <c r="B9" s="371" t="str">
        <f>'RRM Pricing Schedule'!B37</f>
        <v>(a)   Preparation of Tender Documents Fee (based on Hours tendered for stage)</v>
      </c>
      <c r="C9" s="380" t="str">
        <f>'RRM Pricing Schedule'!C37</f>
        <v>Lump Sum</v>
      </c>
      <c r="D9" s="387">
        <v>1</v>
      </c>
      <c r="E9" s="441">
        <f>D9</f>
        <v>1</v>
      </c>
      <c r="F9" s="585">
        <f>DATA!$Y$52</f>
        <v>0</v>
      </c>
      <c r="G9" s="441"/>
      <c r="H9" s="373">
        <f>F9+G9</f>
        <v>0</v>
      </c>
      <c r="I9" s="452">
        <f>'RRM Pricing Schedule'!F37</f>
        <v>0</v>
      </c>
      <c r="J9" s="372">
        <f>D9*I9</f>
        <v>0</v>
      </c>
      <c r="K9" s="372">
        <f>E9*I9</f>
        <v>0</v>
      </c>
      <c r="L9" s="372">
        <f>F9*I9</f>
        <v>0</v>
      </c>
      <c r="M9" s="372">
        <f>G9*I9</f>
        <v>0</v>
      </c>
      <c r="N9" s="373">
        <f>H9*I9</f>
        <v>0</v>
      </c>
    </row>
    <row r="10" spans="1:14" ht="31.5" customHeight="1" thickBot="1">
      <c r="A10" s="516"/>
      <c r="B10" s="371" t="str">
        <f>'RRM Pricing Schedule'!B38</f>
        <v>(b)   Tender Documents in electronic format</v>
      </c>
      <c r="C10" s="380" t="str">
        <f>'RRM Pricing Schedule'!C38</f>
        <v>Number</v>
      </c>
      <c r="D10" s="387">
        <f>'RRM Pricing Schedule'!D38</f>
        <v>1</v>
      </c>
      <c r="E10" s="441">
        <f t="shared" ref="E10" si="0">D10</f>
        <v>1</v>
      </c>
      <c r="F10" s="585">
        <f>DATA!$Z$52</f>
        <v>0</v>
      </c>
      <c r="G10" s="441"/>
      <c r="H10" s="373">
        <f>F10+G10</f>
        <v>0</v>
      </c>
      <c r="I10" s="452">
        <f>'RRM Pricing Schedule'!E38</f>
        <v>0</v>
      </c>
      <c r="J10" s="372">
        <f>D10*I10</f>
        <v>0</v>
      </c>
      <c r="K10" s="372">
        <f>E10*I10</f>
        <v>0</v>
      </c>
      <c r="L10" s="372">
        <f>F10*I10</f>
        <v>0</v>
      </c>
      <c r="M10" s="372">
        <f>G10*I10</f>
        <v>0</v>
      </c>
      <c r="N10" s="373">
        <f>H10*I10</f>
        <v>0</v>
      </c>
    </row>
    <row r="11" spans="1:14" ht="31.5" customHeight="1" thickBot="1">
      <c r="A11" s="1521" t="s">
        <v>333</v>
      </c>
      <c r="B11" s="1522"/>
      <c r="C11" s="1523"/>
      <c r="D11" s="435"/>
      <c r="E11" s="436"/>
      <c r="F11" s="436"/>
      <c r="G11" s="436"/>
      <c r="H11" s="437"/>
      <c r="I11" s="454"/>
      <c r="J11" s="439">
        <f>SUM(J8:J10)</f>
        <v>0</v>
      </c>
      <c r="K11" s="439">
        <f>SUM(K8:K10)</f>
        <v>0</v>
      </c>
      <c r="L11" s="439">
        <f>SUM(L8:L10)</f>
        <v>0</v>
      </c>
      <c r="M11" s="439">
        <f>SUM(M8:M10)</f>
        <v>0</v>
      </c>
      <c r="N11" s="440">
        <f>SUM(N8:N10)</f>
        <v>0</v>
      </c>
    </row>
    <row r="14" spans="1:14" ht="30.9" customHeight="1">
      <c r="A14" s="545" t="s">
        <v>382</v>
      </c>
      <c r="B14" s="545"/>
      <c r="I14" s="364"/>
      <c r="J14" s="455">
        <f>J9+J10</f>
        <v>0</v>
      </c>
      <c r="K14" s="455">
        <f t="shared" ref="K14:N14" si="1">K9+K10</f>
        <v>0</v>
      </c>
      <c r="L14" s="455">
        <f t="shared" si="1"/>
        <v>0</v>
      </c>
      <c r="M14" s="455">
        <f t="shared" si="1"/>
        <v>0</v>
      </c>
      <c r="N14" s="455">
        <f t="shared" si="1"/>
        <v>0</v>
      </c>
    </row>
    <row r="15" spans="1:14" ht="30.9" customHeight="1">
      <c r="A15" s="364" t="s">
        <v>384</v>
      </c>
      <c r="I15" s="364"/>
      <c r="J15" s="455">
        <v>0</v>
      </c>
      <c r="K15" s="455">
        <v>0</v>
      </c>
      <c r="L15" s="455">
        <v>0</v>
      </c>
      <c r="M15" s="455">
        <v>0</v>
      </c>
      <c r="N15" s="455">
        <v>0</v>
      </c>
    </row>
    <row r="16" spans="1:14" ht="30.9" customHeight="1" thickBot="1">
      <c r="A16" s="364" t="s">
        <v>383</v>
      </c>
      <c r="I16" s="364"/>
      <c r="J16" s="517">
        <f>SUM(J14:J15)</f>
        <v>0</v>
      </c>
      <c r="K16" s="517">
        <f t="shared" ref="K16:N16" si="2">SUM(K14:K15)</f>
        <v>0</v>
      </c>
      <c r="L16" s="517">
        <f t="shared" si="2"/>
        <v>0</v>
      </c>
      <c r="M16" s="517">
        <f t="shared" si="2"/>
        <v>0</v>
      </c>
      <c r="N16" s="517">
        <f t="shared" si="2"/>
        <v>0</v>
      </c>
    </row>
    <row r="17" ht="13.8" thickTop="1"/>
  </sheetData>
  <mergeCells count="10">
    <mergeCell ref="A11:C11"/>
    <mergeCell ref="A1:H1"/>
    <mergeCell ref="I1:M2"/>
    <mergeCell ref="N1:N2"/>
    <mergeCell ref="A2:H2"/>
    <mergeCell ref="I3:J3"/>
    <mergeCell ref="K3:N3"/>
    <mergeCell ref="A4:H4"/>
    <mergeCell ref="I4:J4"/>
    <mergeCell ref="K4:N4"/>
  </mergeCells>
  <printOptions horizontalCentered="1"/>
  <pageMargins left="0" right="0" top="0.43307086614173229" bottom="0" header="0.19685039370078741" footer="0.35433070866141736"/>
  <pageSetup paperSize="9" scale="73" fitToHeight="0" orientation="landscape" r:id="rId1"/>
  <headerFooter alignWithMargins="0">
    <oddHeader>&amp;L&amp;"Calibri"&amp;10&amp;K000000 Sensitivity - General&amp;1#_x000D_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9">
    <tabColor rgb="FF0070C0"/>
    <pageSetUpPr fitToPage="1"/>
  </sheetPr>
  <dimension ref="A1:N22"/>
  <sheetViews>
    <sheetView topLeftCell="A7" zoomScaleNormal="100" workbookViewId="0">
      <selection sqref="A1:E1"/>
    </sheetView>
  </sheetViews>
  <sheetFormatPr defaultRowHeight="13.2"/>
  <cols>
    <col min="1" max="1" width="9.109375" style="364"/>
    <col min="2" max="2" width="36.88671875" style="364" customWidth="1"/>
    <col min="3" max="3" width="19.5546875" style="364" customWidth="1"/>
    <col min="4" max="8" width="11.6640625" style="364" customWidth="1"/>
    <col min="9" max="9" width="11.6640625" style="364" bestFit="1" customWidth="1"/>
    <col min="10" max="11" width="12.88671875" style="364" bestFit="1" customWidth="1"/>
    <col min="12" max="12" width="12.44140625" style="364" customWidth="1"/>
    <col min="13" max="13" width="11.33203125" style="364" bestFit="1" customWidth="1"/>
    <col min="14" max="14" width="11.6640625" style="364" bestFit="1" customWidth="1"/>
    <col min="15" max="257" width="9.109375" style="364"/>
    <col min="258" max="258" width="24.5546875" style="364" customWidth="1"/>
    <col min="259" max="265" width="9.109375" style="364"/>
    <col min="266" max="266" width="15.44140625" style="364" bestFit="1" customWidth="1"/>
    <col min="267" max="268" width="12.6640625" style="364" bestFit="1" customWidth="1"/>
    <col min="269" max="269" width="10.109375" style="364" bestFit="1" customWidth="1"/>
    <col min="270" max="270" width="12.109375" style="364" customWidth="1"/>
    <col min="271" max="513" width="9.109375" style="364"/>
    <col min="514" max="514" width="24.5546875" style="364" customWidth="1"/>
    <col min="515" max="521" width="9.109375" style="364"/>
    <col min="522" max="522" width="15.44140625" style="364" bestFit="1" customWidth="1"/>
    <col min="523" max="524" width="12.6640625" style="364" bestFit="1" customWidth="1"/>
    <col min="525" max="525" width="10.109375" style="364" bestFit="1" customWidth="1"/>
    <col min="526" max="526" width="12.109375" style="364" customWidth="1"/>
    <col min="527" max="769" width="9.109375" style="364"/>
    <col min="770" max="770" width="24.5546875" style="364" customWidth="1"/>
    <col min="771" max="777" width="9.109375" style="364"/>
    <col min="778" max="778" width="15.44140625" style="364" bestFit="1" customWidth="1"/>
    <col min="779" max="780" width="12.6640625" style="364" bestFit="1" customWidth="1"/>
    <col min="781" max="781" width="10.109375" style="364" bestFit="1" customWidth="1"/>
    <col min="782" max="782" width="12.109375" style="364" customWidth="1"/>
    <col min="783" max="1025" width="9.109375" style="364"/>
    <col min="1026" max="1026" width="24.5546875" style="364" customWidth="1"/>
    <col min="1027" max="1033" width="9.109375" style="364"/>
    <col min="1034" max="1034" width="15.44140625" style="364" bestFit="1" customWidth="1"/>
    <col min="1035" max="1036" width="12.6640625" style="364" bestFit="1" customWidth="1"/>
    <col min="1037" max="1037" width="10.109375" style="364" bestFit="1" customWidth="1"/>
    <col min="1038" max="1038" width="12.109375" style="364" customWidth="1"/>
    <col min="1039" max="1281" width="9.109375" style="364"/>
    <col min="1282" max="1282" width="24.5546875" style="364" customWidth="1"/>
    <col min="1283" max="1289" width="9.109375" style="364"/>
    <col min="1290" max="1290" width="15.44140625" style="364" bestFit="1" customWidth="1"/>
    <col min="1291" max="1292" width="12.6640625" style="364" bestFit="1" customWidth="1"/>
    <col min="1293" max="1293" width="10.109375" style="364" bestFit="1" customWidth="1"/>
    <col min="1294" max="1294" width="12.109375" style="364" customWidth="1"/>
    <col min="1295" max="1537" width="9.109375" style="364"/>
    <col min="1538" max="1538" width="24.5546875" style="364" customWidth="1"/>
    <col min="1539" max="1545" width="9.109375" style="364"/>
    <col min="1546" max="1546" width="15.44140625" style="364" bestFit="1" customWidth="1"/>
    <col min="1547" max="1548" width="12.6640625" style="364" bestFit="1" customWidth="1"/>
    <col min="1549" max="1549" width="10.109375" style="364" bestFit="1" customWidth="1"/>
    <col min="1550" max="1550" width="12.109375" style="364" customWidth="1"/>
    <col min="1551" max="1793" width="9.109375" style="364"/>
    <col min="1794" max="1794" width="24.5546875" style="364" customWidth="1"/>
    <col min="1795" max="1801" width="9.109375" style="364"/>
    <col min="1802" max="1802" width="15.44140625" style="364" bestFit="1" customWidth="1"/>
    <col min="1803" max="1804" width="12.6640625" style="364" bestFit="1" customWidth="1"/>
    <col min="1805" max="1805" width="10.109375" style="364" bestFit="1" customWidth="1"/>
    <col min="1806" max="1806" width="12.109375" style="364" customWidth="1"/>
    <col min="1807" max="2049" width="9.109375" style="364"/>
    <col min="2050" max="2050" width="24.5546875" style="364" customWidth="1"/>
    <col min="2051" max="2057" width="9.109375" style="364"/>
    <col min="2058" max="2058" width="15.44140625" style="364" bestFit="1" customWidth="1"/>
    <col min="2059" max="2060" width="12.6640625" style="364" bestFit="1" customWidth="1"/>
    <col min="2061" max="2061" width="10.109375" style="364" bestFit="1" customWidth="1"/>
    <col min="2062" max="2062" width="12.109375" style="364" customWidth="1"/>
    <col min="2063" max="2305" width="9.109375" style="364"/>
    <col min="2306" max="2306" width="24.5546875" style="364" customWidth="1"/>
    <col min="2307" max="2313" width="9.109375" style="364"/>
    <col min="2314" max="2314" width="15.44140625" style="364" bestFit="1" customWidth="1"/>
    <col min="2315" max="2316" width="12.6640625" style="364" bestFit="1" customWidth="1"/>
    <col min="2317" max="2317" width="10.109375" style="364" bestFit="1" customWidth="1"/>
    <col min="2318" max="2318" width="12.109375" style="364" customWidth="1"/>
    <col min="2319" max="2561" width="9.109375" style="364"/>
    <col min="2562" max="2562" width="24.5546875" style="364" customWidth="1"/>
    <col min="2563" max="2569" width="9.109375" style="364"/>
    <col min="2570" max="2570" width="15.44140625" style="364" bestFit="1" customWidth="1"/>
    <col min="2571" max="2572" width="12.6640625" style="364" bestFit="1" customWidth="1"/>
    <col min="2573" max="2573" width="10.109375" style="364" bestFit="1" customWidth="1"/>
    <col min="2574" max="2574" width="12.109375" style="364" customWidth="1"/>
    <col min="2575" max="2817" width="9.109375" style="364"/>
    <col min="2818" max="2818" width="24.5546875" style="364" customWidth="1"/>
    <col min="2819" max="2825" width="9.109375" style="364"/>
    <col min="2826" max="2826" width="15.44140625" style="364" bestFit="1" customWidth="1"/>
    <col min="2827" max="2828" width="12.6640625" style="364" bestFit="1" customWidth="1"/>
    <col min="2829" max="2829" width="10.109375" style="364" bestFit="1" customWidth="1"/>
    <col min="2830" max="2830" width="12.109375" style="364" customWidth="1"/>
    <col min="2831" max="3073" width="9.109375" style="364"/>
    <col min="3074" max="3074" width="24.5546875" style="364" customWidth="1"/>
    <col min="3075" max="3081" width="9.109375" style="364"/>
    <col min="3082" max="3082" width="15.44140625" style="364" bestFit="1" customWidth="1"/>
    <col min="3083" max="3084" width="12.6640625" style="364" bestFit="1" customWidth="1"/>
    <col min="3085" max="3085" width="10.109375" style="364" bestFit="1" customWidth="1"/>
    <col min="3086" max="3086" width="12.109375" style="364" customWidth="1"/>
    <col min="3087" max="3329" width="9.109375" style="364"/>
    <col min="3330" max="3330" width="24.5546875" style="364" customWidth="1"/>
    <col min="3331" max="3337" width="9.109375" style="364"/>
    <col min="3338" max="3338" width="15.44140625" style="364" bestFit="1" customWidth="1"/>
    <col min="3339" max="3340" width="12.6640625" style="364" bestFit="1" customWidth="1"/>
    <col min="3341" max="3341" width="10.109375" style="364" bestFit="1" customWidth="1"/>
    <col min="3342" max="3342" width="12.109375" style="364" customWidth="1"/>
    <col min="3343" max="3585" width="9.109375" style="364"/>
    <col min="3586" max="3586" width="24.5546875" style="364" customWidth="1"/>
    <col min="3587" max="3593" width="9.109375" style="364"/>
    <col min="3594" max="3594" width="15.44140625" style="364" bestFit="1" customWidth="1"/>
    <col min="3595" max="3596" width="12.6640625" style="364" bestFit="1" customWidth="1"/>
    <col min="3597" max="3597" width="10.109375" style="364" bestFit="1" customWidth="1"/>
    <col min="3598" max="3598" width="12.109375" style="364" customWidth="1"/>
    <col min="3599" max="3841" width="9.109375" style="364"/>
    <col min="3842" max="3842" width="24.5546875" style="364" customWidth="1"/>
    <col min="3843" max="3849" width="9.109375" style="364"/>
    <col min="3850" max="3850" width="15.44140625" style="364" bestFit="1" customWidth="1"/>
    <col min="3851" max="3852" width="12.6640625" style="364" bestFit="1" customWidth="1"/>
    <col min="3853" max="3853" width="10.109375" style="364" bestFit="1" customWidth="1"/>
    <col min="3854" max="3854" width="12.109375" style="364" customWidth="1"/>
    <col min="3855" max="4097" width="9.109375" style="364"/>
    <col min="4098" max="4098" width="24.5546875" style="364" customWidth="1"/>
    <col min="4099" max="4105" width="9.109375" style="364"/>
    <col min="4106" max="4106" width="15.44140625" style="364" bestFit="1" customWidth="1"/>
    <col min="4107" max="4108" width="12.6640625" style="364" bestFit="1" customWidth="1"/>
    <col min="4109" max="4109" width="10.109375" style="364" bestFit="1" customWidth="1"/>
    <col min="4110" max="4110" width="12.109375" style="364" customWidth="1"/>
    <col min="4111" max="4353" width="9.109375" style="364"/>
    <col min="4354" max="4354" width="24.5546875" style="364" customWidth="1"/>
    <col min="4355" max="4361" width="9.109375" style="364"/>
    <col min="4362" max="4362" width="15.44140625" style="364" bestFit="1" customWidth="1"/>
    <col min="4363" max="4364" width="12.6640625" style="364" bestFit="1" customWidth="1"/>
    <col min="4365" max="4365" width="10.109375" style="364" bestFit="1" customWidth="1"/>
    <col min="4366" max="4366" width="12.109375" style="364" customWidth="1"/>
    <col min="4367" max="4609" width="9.109375" style="364"/>
    <col min="4610" max="4610" width="24.5546875" style="364" customWidth="1"/>
    <col min="4611" max="4617" width="9.109375" style="364"/>
    <col min="4618" max="4618" width="15.44140625" style="364" bestFit="1" customWidth="1"/>
    <col min="4619" max="4620" width="12.6640625" style="364" bestFit="1" customWidth="1"/>
    <col min="4621" max="4621" width="10.109375" style="364" bestFit="1" customWidth="1"/>
    <col min="4622" max="4622" width="12.109375" style="364" customWidth="1"/>
    <col min="4623" max="4865" width="9.109375" style="364"/>
    <col min="4866" max="4866" width="24.5546875" style="364" customWidth="1"/>
    <col min="4867" max="4873" width="9.109375" style="364"/>
    <col min="4874" max="4874" width="15.44140625" style="364" bestFit="1" customWidth="1"/>
    <col min="4875" max="4876" width="12.6640625" style="364" bestFit="1" customWidth="1"/>
    <col min="4877" max="4877" width="10.109375" style="364" bestFit="1" customWidth="1"/>
    <col min="4878" max="4878" width="12.109375" style="364" customWidth="1"/>
    <col min="4879" max="5121" width="9.109375" style="364"/>
    <col min="5122" max="5122" width="24.5546875" style="364" customWidth="1"/>
    <col min="5123" max="5129" width="9.109375" style="364"/>
    <col min="5130" max="5130" width="15.44140625" style="364" bestFit="1" customWidth="1"/>
    <col min="5131" max="5132" width="12.6640625" style="364" bestFit="1" customWidth="1"/>
    <col min="5133" max="5133" width="10.109375" style="364" bestFit="1" customWidth="1"/>
    <col min="5134" max="5134" width="12.109375" style="364" customWidth="1"/>
    <col min="5135" max="5377" width="9.109375" style="364"/>
    <col min="5378" max="5378" width="24.5546875" style="364" customWidth="1"/>
    <col min="5379" max="5385" width="9.109375" style="364"/>
    <col min="5386" max="5386" width="15.44140625" style="364" bestFit="1" customWidth="1"/>
    <col min="5387" max="5388" width="12.6640625" style="364" bestFit="1" customWidth="1"/>
    <col min="5389" max="5389" width="10.109375" style="364" bestFit="1" customWidth="1"/>
    <col min="5390" max="5390" width="12.109375" style="364" customWidth="1"/>
    <col min="5391" max="5633" width="9.109375" style="364"/>
    <col min="5634" max="5634" width="24.5546875" style="364" customWidth="1"/>
    <col min="5635" max="5641" width="9.109375" style="364"/>
    <col min="5642" max="5642" width="15.44140625" style="364" bestFit="1" customWidth="1"/>
    <col min="5643" max="5644" width="12.6640625" style="364" bestFit="1" customWidth="1"/>
    <col min="5645" max="5645" width="10.109375" style="364" bestFit="1" customWidth="1"/>
    <col min="5646" max="5646" width="12.109375" style="364" customWidth="1"/>
    <col min="5647" max="5889" width="9.109375" style="364"/>
    <col min="5890" max="5890" width="24.5546875" style="364" customWidth="1"/>
    <col min="5891" max="5897" width="9.109375" style="364"/>
    <col min="5898" max="5898" width="15.44140625" style="364" bestFit="1" customWidth="1"/>
    <col min="5899" max="5900" width="12.6640625" style="364" bestFit="1" customWidth="1"/>
    <col min="5901" max="5901" width="10.109375" style="364" bestFit="1" customWidth="1"/>
    <col min="5902" max="5902" width="12.109375" style="364" customWidth="1"/>
    <col min="5903" max="6145" width="9.109375" style="364"/>
    <col min="6146" max="6146" width="24.5546875" style="364" customWidth="1"/>
    <col min="6147" max="6153" width="9.109375" style="364"/>
    <col min="6154" max="6154" width="15.44140625" style="364" bestFit="1" customWidth="1"/>
    <col min="6155" max="6156" width="12.6640625" style="364" bestFit="1" customWidth="1"/>
    <col min="6157" max="6157" width="10.109375" style="364" bestFit="1" customWidth="1"/>
    <col min="6158" max="6158" width="12.109375" style="364" customWidth="1"/>
    <col min="6159" max="6401" width="9.109375" style="364"/>
    <col min="6402" max="6402" width="24.5546875" style="364" customWidth="1"/>
    <col min="6403" max="6409" width="9.109375" style="364"/>
    <col min="6410" max="6410" width="15.44140625" style="364" bestFit="1" customWidth="1"/>
    <col min="6411" max="6412" width="12.6640625" style="364" bestFit="1" customWidth="1"/>
    <col min="6413" max="6413" width="10.109375" style="364" bestFit="1" customWidth="1"/>
    <col min="6414" max="6414" width="12.109375" style="364" customWidth="1"/>
    <col min="6415" max="6657" width="9.109375" style="364"/>
    <col min="6658" max="6658" width="24.5546875" style="364" customWidth="1"/>
    <col min="6659" max="6665" width="9.109375" style="364"/>
    <col min="6666" max="6666" width="15.44140625" style="364" bestFit="1" customWidth="1"/>
    <col min="6667" max="6668" width="12.6640625" style="364" bestFit="1" customWidth="1"/>
    <col min="6669" max="6669" width="10.109375" style="364" bestFit="1" customWidth="1"/>
    <col min="6670" max="6670" width="12.109375" style="364" customWidth="1"/>
    <col min="6671" max="6913" width="9.109375" style="364"/>
    <col min="6914" max="6914" width="24.5546875" style="364" customWidth="1"/>
    <col min="6915" max="6921" width="9.109375" style="364"/>
    <col min="6922" max="6922" width="15.44140625" style="364" bestFit="1" customWidth="1"/>
    <col min="6923" max="6924" width="12.6640625" style="364" bestFit="1" customWidth="1"/>
    <col min="6925" max="6925" width="10.109375" style="364" bestFit="1" customWidth="1"/>
    <col min="6926" max="6926" width="12.109375" style="364" customWidth="1"/>
    <col min="6927" max="7169" width="9.109375" style="364"/>
    <col min="7170" max="7170" width="24.5546875" style="364" customWidth="1"/>
    <col min="7171" max="7177" width="9.109375" style="364"/>
    <col min="7178" max="7178" width="15.44140625" style="364" bestFit="1" customWidth="1"/>
    <col min="7179" max="7180" width="12.6640625" style="364" bestFit="1" customWidth="1"/>
    <col min="7181" max="7181" width="10.109375" style="364" bestFit="1" customWidth="1"/>
    <col min="7182" max="7182" width="12.109375" style="364" customWidth="1"/>
    <col min="7183" max="7425" width="9.109375" style="364"/>
    <col min="7426" max="7426" width="24.5546875" style="364" customWidth="1"/>
    <col min="7427" max="7433" width="9.109375" style="364"/>
    <col min="7434" max="7434" width="15.44140625" style="364" bestFit="1" customWidth="1"/>
    <col min="7435" max="7436" width="12.6640625" style="364" bestFit="1" customWidth="1"/>
    <col min="7437" max="7437" width="10.109375" style="364" bestFit="1" customWidth="1"/>
    <col min="7438" max="7438" width="12.109375" style="364" customWidth="1"/>
    <col min="7439" max="7681" width="9.109375" style="364"/>
    <col min="7682" max="7682" width="24.5546875" style="364" customWidth="1"/>
    <col min="7683" max="7689" width="9.109375" style="364"/>
    <col min="7690" max="7690" width="15.44140625" style="364" bestFit="1" customWidth="1"/>
    <col min="7691" max="7692" width="12.6640625" style="364" bestFit="1" customWidth="1"/>
    <col min="7693" max="7693" width="10.109375" style="364" bestFit="1" customWidth="1"/>
    <col min="7694" max="7694" width="12.109375" style="364" customWidth="1"/>
    <col min="7695" max="7937" width="9.109375" style="364"/>
    <col min="7938" max="7938" width="24.5546875" style="364" customWidth="1"/>
    <col min="7939" max="7945" width="9.109375" style="364"/>
    <col min="7946" max="7946" width="15.44140625" style="364" bestFit="1" customWidth="1"/>
    <col min="7947" max="7948" width="12.6640625" style="364" bestFit="1" customWidth="1"/>
    <col min="7949" max="7949" width="10.109375" style="364" bestFit="1" customWidth="1"/>
    <col min="7950" max="7950" width="12.109375" style="364" customWidth="1"/>
    <col min="7951" max="8193" width="9.109375" style="364"/>
    <col min="8194" max="8194" width="24.5546875" style="364" customWidth="1"/>
    <col min="8195" max="8201" width="9.109375" style="364"/>
    <col min="8202" max="8202" width="15.44140625" style="364" bestFit="1" customWidth="1"/>
    <col min="8203" max="8204" width="12.6640625" style="364" bestFit="1" customWidth="1"/>
    <col min="8205" max="8205" width="10.109375" style="364" bestFit="1" customWidth="1"/>
    <col min="8206" max="8206" width="12.109375" style="364" customWidth="1"/>
    <col min="8207" max="8449" width="9.109375" style="364"/>
    <col min="8450" max="8450" width="24.5546875" style="364" customWidth="1"/>
    <col min="8451" max="8457" width="9.109375" style="364"/>
    <col min="8458" max="8458" width="15.44140625" style="364" bestFit="1" customWidth="1"/>
    <col min="8459" max="8460" width="12.6640625" style="364" bestFit="1" customWidth="1"/>
    <col min="8461" max="8461" width="10.109375" style="364" bestFit="1" customWidth="1"/>
    <col min="8462" max="8462" width="12.109375" style="364" customWidth="1"/>
    <col min="8463" max="8705" width="9.109375" style="364"/>
    <col min="8706" max="8706" width="24.5546875" style="364" customWidth="1"/>
    <col min="8707" max="8713" width="9.109375" style="364"/>
    <col min="8714" max="8714" width="15.44140625" style="364" bestFit="1" customWidth="1"/>
    <col min="8715" max="8716" width="12.6640625" style="364" bestFit="1" customWidth="1"/>
    <col min="8717" max="8717" width="10.109375" style="364" bestFit="1" customWidth="1"/>
    <col min="8718" max="8718" width="12.109375" style="364" customWidth="1"/>
    <col min="8719" max="8961" width="9.109375" style="364"/>
    <col min="8962" max="8962" width="24.5546875" style="364" customWidth="1"/>
    <col min="8963" max="8969" width="9.109375" style="364"/>
    <col min="8970" max="8970" width="15.44140625" style="364" bestFit="1" customWidth="1"/>
    <col min="8971" max="8972" width="12.6640625" style="364" bestFit="1" customWidth="1"/>
    <col min="8973" max="8973" width="10.109375" style="364" bestFit="1" customWidth="1"/>
    <col min="8974" max="8974" width="12.109375" style="364" customWidth="1"/>
    <col min="8975" max="9217" width="9.109375" style="364"/>
    <col min="9218" max="9218" width="24.5546875" style="364" customWidth="1"/>
    <col min="9219" max="9225" width="9.109375" style="364"/>
    <col min="9226" max="9226" width="15.44140625" style="364" bestFit="1" customWidth="1"/>
    <col min="9227" max="9228" width="12.6640625" style="364" bestFit="1" customWidth="1"/>
    <col min="9229" max="9229" width="10.109375" style="364" bestFit="1" customWidth="1"/>
    <col min="9230" max="9230" width="12.109375" style="364" customWidth="1"/>
    <col min="9231" max="9473" width="9.109375" style="364"/>
    <col min="9474" max="9474" width="24.5546875" style="364" customWidth="1"/>
    <col min="9475" max="9481" width="9.109375" style="364"/>
    <col min="9482" max="9482" width="15.44140625" style="364" bestFit="1" customWidth="1"/>
    <col min="9483" max="9484" width="12.6640625" style="364" bestFit="1" customWidth="1"/>
    <col min="9485" max="9485" width="10.109375" style="364" bestFit="1" customWidth="1"/>
    <col min="9486" max="9486" width="12.109375" style="364" customWidth="1"/>
    <col min="9487" max="9729" width="9.109375" style="364"/>
    <col min="9730" max="9730" width="24.5546875" style="364" customWidth="1"/>
    <col min="9731" max="9737" width="9.109375" style="364"/>
    <col min="9738" max="9738" width="15.44140625" style="364" bestFit="1" customWidth="1"/>
    <col min="9739" max="9740" width="12.6640625" style="364" bestFit="1" customWidth="1"/>
    <col min="9741" max="9741" width="10.109375" style="364" bestFit="1" customWidth="1"/>
    <col min="9742" max="9742" width="12.109375" style="364" customWidth="1"/>
    <col min="9743" max="9985" width="9.109375" style="364"/>
    <col min="9986" max="9986" width="24.5546875" style="364" customWidth="1"/>
    <col min="9987" max="9993" width="9.109375" style="364"/>
    <col min="9994" max="9994" width="15.44140625" style="364" bestFit="1" customWidth="1"/>
    <col min="9995" max="9996" width="12.6640625" style="364" bestFit="1" customWidth="1"/>
    <col min="9997" max="9997" width="10.109375" style="364" bestFit="1" customWidth="1"/>
    <col min="9998" max="9998" width="12.109375" style="364" customWidth="1"/>
    <col min="9999" max="10241" width="9.109375" style="364"/>
    <col min="10242" max="10242" width="24.5546875" style="364" customWidth="1"/>
    <col min="10243" max="10249" width="9.109375" style="364"/>
    <col min="10250" max="10250" width="15.44140625" style="364" bestFit="1" customWidth="1"/>
    <col min="10251" max="10252" width="12.6640625" style="364" bestFit="1" customWidth="1"/>
    <col min="10253" max="10253" width="10.109375" style="364" bestFit="1" customWidth="1"/>
    <col min="10254" max="10254" width="12.109375" style="364" customWidth="1"/>
    <col min="10255" max="10497" width="9.109375" style="364"/>
    <col min="10498" max="10498" width="24.5546875" style="364" customWidth="1"/>
    <col min="10499" max="10505" width="9.109375" style="364"/>
    <col min="10506" max="10506" width="15.44140625" style="364" bestFit="1" customWidth="1"/>
    <col min="10507" max="10508" width="12.6640625" style="364" bestFit="1" customWidth="1"/>
    <col min="10509" max="10509" width="10.109375" style="364" bestFit="1" customWidth="1"/>
    <col min="10510" max="10510" width="12.109375" style="364" customWidth="1"/>
    <col min="10511" max="10753" width="9.109375" style="364"/>
    <col min="10754" max="10754" width="24.5546875" style="364" customWidth="1"/>
    <col min="10755" max="10761" width="9.109375" style="364"/>
    <col min="10762" max="10762" width="15.44140625" style="364" bestFit="1" customWidth="1"/>
    <col min="10763" max="10764" width="12.6640625" style="364" bestFit="1" customWidth="1"/>
    <col min="10765" max="10765" width="10.109375" style="364" bestFit="1" customWidth="1"/>
    <col min="10766" max="10766" width="12.109375" style="364" customWidth="1"/>
    <col min="10767" max="11009" width="9.109375" style="364"/>
    <col min="11010" max="11010" width="24.5546875" style="364" customWidth="1"/>
    <col min="11011" max="11017" width="9.109375" style="364"/>
    <col min="11018" max="11018" width="15.44140625" style="364" bestFit="1" customWidth="1"/>
    <col min="11019" max="11020" width="12.6640625" style="364" bestFit="1" customWidth="1"/>
    <col min="11021" max="11021" width="10.109375" style="364" bestFit="1" customWidth="1"/>
    <col min="11022" max="11022" width="12.109375" style="364" customWidth="1"/>
    <col min="11023" max="11265" width="9.109375" style="364"/>
    <col min="11266" max="11266" width="24.5546875" style="364" customWidth="1"/>
    <col min="11267" max="11273" width="9.109375" style="364"/>
    <col min="11274" max="11274" width="15.44140625" style="364" bestFit="1" customWidth="1"/>
    <col min="11275" max="11276" width="12.6640625" style="364" bestFit="1" customWidth="1"/>
    <col min="11277" max="11277" width="10.109375" style="364" bestFit="1" customWidth="1"/>
    <col min="11278" max="11278" width="12.109375" style="364" customWidth="1"/>
    <col min="11279" max="11521" width="9.109375" style="364"/>
    <col min="11522" max="11522" width="24.5546875" style="364" customWidth="1"/>
    <col min="11523" max="11529" width="9.109375" style="364"/>
    <col min="11530" max="11530" width="15.44140625" style="364" bestFit="1" customWidth="1"/>
    <col min="11531" max="11532" width="12.6640625" style="364" bestFit="1" customWidth="1"/>
    <col min="11533" max="11533" width="10.109375" style="364" bestFit="1" customWidth="1"/>
    <col min="11534" max="11534" width="12.109375" style="364" customWidth="1"/>
    <col min="11535" max="11777" width="9.109375" style="364"/>
    <col min="11778" max="11778" width="24.5546875" style="364" customWidth="1"/>
    <col min="11779" max="11785" width="9.109375" style="364"/>
    <col min="11786" max="11786" width="15.44140625" style="364" bestFit="1" customWidth="1"/>
    <col min="11787" max="11788" width="12.6640625" style="364" bestFit="1" customWidth="1"/>
    <col min="11789" max="11789" width="10.109375" style="364" bestFit="1" customWidth="1"/>
    <col min="11790" max="11790" width="12.109375" style="364" customWidth="1"/>
    <col min="11791" max="12033" width="9.109375" style="364"/>
    <col min="12034" max="12034" width="24.5546875" style="364" customWidth="1"/>
    <col min="12035" max="12041" width="9.109375" style="364"/>
    <col min="12042" max="12042" width="15.44140625" style="364" bestFit="1" customWidth="1"/>
    <col min="12043" max="12044" width="12.6640625" style="364" bestFit="1" customWidth="1"/>
    <col min="12045" max="12045" width="10.109375" style="364" bestFit="1" customWidth="1"/>
    <col min="12046" max="12046" width="12.109375" style="364" customWidth="1"/>
    <col min="12047" max="12289" width="9.109375" style="364"/>
    <col min="12290" max="12290" width="24.5546875" style="364" customWidth="1"/>
    <col min="12291" max="12297" width="9.109375" style="364"/>
    <col min="12298" max="12298" width="15.44140625" style="364" bestFit="1" customWidth="1"/>
    <col min="12299" max="12300" width="12.6640625" style="364" bestFit="1" customWidth="1"/>
    <col min="12301" max="12301" width="10.109375" style="364" bestFit="1" customWidth="1"/>
    <col min="12302" max="12302" width="12.109375" style="364" customWidth="1"/>
    <col min="12303" max="12545" width="9.109375" style="364"/>
    <col min="12546" max="12546" width="24.5546875" style="364" customWidth="1"/>
    <col min="12547" max="12553" width="9.109375" style="364"/>
    <col min="12554" max="12554" width="15.44140625" style="364" bestFit="1" customWidth="1"/>
    <col min="12555" max="12556" width="12.6640625" style="364" bestFit="1" customWidth="1"/>
    <col min="12557" max="12557" width="10.109375" style="364" bestFit="1" customWidth="1"/>
    <col min="12558" max="12558" width="12.109375" style="364" customWidth="1"/>
    <col min="12559" max="12801" width="9.109375" style="364"/>
    <col min="12802" max="12802" width="24.5546875" style="364" customWidth="1"/>
    <col min="12803" max="12809" width="9.109375" style="364"/>
    <col min="12810" max="12810" width="15.44140625" style="364" bestFit="1" customWidth="1"/>
    <col min="12811" max="12812" width="12.6640625" style="364" bestFit="1" customWidth="1"/>
    <col min="12813" max="12813" width="10.109375" style="364" bestFit="1" customWidth="1"/>
    <col min="12814" max="12814" width="12.109375" style="364" customWidth="1"/>
    <col min="12815" max="13057" width="9.109375" style="364"/>
    <col min="13058" max="13058" width="24.5546875" style="364" customWidth="1"/>
    <col min="13059" max="13065" width="9.109375" style="364"/>
    <col min="13066" max="13066" width="15.44140625" style="364" bestFit="1" customWidth="1"/>
    <col min="13067" max="13068" width="12.6640625" style="364" bestFit="1" customWidth="1"/>
    <col min="13069" max="13069" width="10.109375" style="364" bestFit="1" customWidth="1"/>
    <col min="13070" max="13070" width="12.109375" style="364" customWidth="1"/>
    <col min="13071" max="13313" width="9.109375" style="364"/>
    <col min="13314" max="13314" width="24.5546875" style="364" customWidth="1"/>
    <col min="13315" max="13321" width="9.109375" style="364"/>
    <col min="13322" max="13322" width="15.44140625" style="364" bestFit="1" customWidth="1"/>
    <col min="13323" max="13324" width="12.6640625" style="364" bestFit="1" customWidth="1"/>
    <col min="13325" max="13325" width="10.109375" style="364" bestFit="1" customWidth="1"/>
    <col min="13326" max="13326" width="12.109375" style="364" customWidth="1"/>
    <col min="13327" max="13569" width="9.109375" style="364"/>
    <col min="13570" max="13570" width="24.5546875" style="364" customWidth="1"/>
    <col min="13571" max="13577" width="9.109375" style="364"/>
    <col min="13578" max="13578" width="15.44140625" style="364" bestFit="1" customWidth="1"/>
    <col min="13579" max="13580" width="12.6640625" style="364" bestFit="1" customWidth="1"/>
    <col min="13581" max="13581" width="10.109375" style="364" bestFit="1" customWidth="1"/>
    <col min="13582" max="13582" width="12.109375" style="364" customWidth="1"/>
    <col min="13583" max="13825" width="9.109375" style="364"/>
    <col min="13826" max="13826" width="24.5546875" style="364" customWidth="1"/>
    <col min="13827" max="13833" width="9.109375" style="364"/>
    <col min="13834" max="13834" width="15.44140625" style="364" bestFit="1" customWidth="1"/>
    <col min="13835" max="13836" width="12.6640625" style="364" bestFit="1" customWidth="1"/>
    <col min="13837" max="13837" width="10.109375" style="364" bestFit="1" customWidth="1"/>
    <col min="13838" max="13838" width="12.109375" style="364" customWidth="1"/>
    <col min="13839" max="14081" width="9.109375" style="364"/>
    <col min="14082" max="14082" width="24.5546875" style="364" customWidth="1"/>
    <col min="14083" max="14089" width="9.109375" style="364"/>
    <col min="14090" max="14090" width="15.44140625" style="364" bestFit="1" customWidth="1"/>
    <col min="14091" max="14092" width="12.6640625" style="364" bestFit="1" customWidth="1"/>
    <col min="14093" max="14093" width="10.109375" style="364" bestFit="1" customWidth="1"/>
    <col min="14094" max="14094" width="12.109375" style="364" customWidth="1"/>
    <col min="14095" max="14337" width="9.109375" style="364"/>
    <col min="14338" max="14338" width="24.5546875" style="364" customWidth="1"/>
    <col min="14339" max="14345" width="9.109375" style="364"/>
    <col min="14346" max="14346" width="15.44140625" style="364" bestFit="1" customWidth="1"/>
    <col min="14347" max="14348" width="12.6640625" style="364" bestFit="1" customWidth="1"/>
    <col min="14349" max="14349" width="10.109375" style="364" bestFit="1" customWidth="1"/>
    <col min="14350" max="14350" width="12.109375" style="364" customWidth="1"/>
    <col min="14351" max="14593" width="9.109375" style="364"/>
    <col min="14594" max="14594" width="24.5546875" style="364" customWidth="1"/>
    <col min="14595" max="14601" width="9.109375" style="364"/>
    <col min="14602" max="14602" width="15.44140625" style="364" bestFit="1" customWidth="1"/>
    <col min="14603" max="14604" width="12.6640625" style="364" bestFit="1" customWidth="1"/>
    <col min="14605" max="14605" width="10.109375" style="364" bestFit="1" customWidth="1"/>
    <col min="14606" max="14606" width="12.109375" style="364" customWidth="1"/>
    <col min="14607" max="14849" width="9.109375" style="364"/>
    <col min="14850" max="14850" width="24.5546875" style="364" customWidth="1"/>
    <col min="14851" max="14857" width="9.109375" style="364"/>
    <col min="14858" max="14858" width="15.44140625" style="364" bestFit="1" customWidth="1"/>
    <col min="14859" max="14860" width="12.6640625" style="364" bestFit="1" customWidth="1"/>
    <col min="14861" max="14861" width="10.109375" style="364" bestFit="1" customWidth="1"/>
    <col min="14862" max="14862" width="12.109375" style="364" customWidth="1"/>
    <col min="14863" max="15105" width="9.109375" style="364"/>
    <col min="15106" max="15106" width="24.5546875" style="364" customWidth="1"/>
    <col min="15107" max="15113" width="9.109375" style="364"/>
    <col min="15114" max="15114" width="15.44140625" style="364" bestFit="1" customWidth="1"/>
    <col min="15115" max="15116" width="12.6640625" style="364" bestFit="1" customWidth="1"/>
    <col min="15117" max="15117" width="10.109375" style="364" bestFit="1" customWidth="1"/>
    <col min="15118" max="15118" width="12.109375" style="364" customWidth="1"/>
    <col min="15119" max="15361" width="9.109375" style="364"/>
    <col min="15362" max="15362" width="24.5546875" style="364" customWidth="1"/>
    <col min="15363" max="15369" width="9.109375" style="364"/>
    <col min="15370" max="15370" width="15.44140625" style="364" bestFit="1" customWidth="1"/>
    <col min="15371" max="15372" width="12.6640625" style="364" bestFit="1" customWidth="1"/>
    <col min="15373" max="15373" width="10.109375" style="364" bestFit="1" customWidth="1"/>
    <col min="15374" max="15374" width="12.109375" style="364" customWidth="1"/>
    <col min="15375" max="15617" width="9.109375" style="364"/>
    <col min="15618" max="15618" width="24.5546875" style="364" customWidth="1"/>
    <col min="15619" max="15625" width="9.109375" style="364"/>
    <col min="15626" max="15626" width="15.44140625" style="364" bestFit="1" customWidth="1"/>
    <col min="15627" max="15628" width="12.6640625" style="364" bestFit="1" customWidth="1"/>
    <col min="15629" max="15629" width="10.109375" style="364" bestFit="1" customWidth="1"/>
    <col min="15630" max="15630" width="12.109375" style="364" customWidth="1"/>
    <col min="15631" max="15873" width="9.109375" style="364"/>
    <col min="15874" max="15874" width="24.5546875" style="364" customWidth="1"/>
    <col min="15875" max="15881" width="9.109375" style="364"/>
    <col min="15882" max="15882" width="15.44140625" style="364" bestFit="1" customWidth="1"/>
    <col min="15883" max="15884" width="12.6640625" style="364" bestFit="1" customWidth="1"/>
    <col min="15885" max="15885" width="10.109375" style="364" bestFit="1" customWidth="1"/>
    <col min="15886" max="15886" width="12.109375" style="364" customWidth="1"/>
    <col min="15887" max="16129" width="9.109375" style="364"/>
    <col min="16130" max="16130" width="24.5546875" style="364" customWidth="1"/>
    <col min="16131" max="16137" width="9.109375" style="364"/>
    <col min="16138" max="16138" width="15.44140625" style="364" bestFit="1" customWidth="1"/>
    <col min="16139" max="16140" width="12.6640625" style="364" bestFit="1" customWidth="1"/>
    <col min="16141" max="16141" width="10.109375" style="364" bestFit="1" customWidth="1"/>
    <col min="16142" max="16142" width="12.109375" style="364" customWidth="1"/>
    <col min="16143" max="16384" width="9.109375" style="364"/>
  </cols>
  <sheetData>
    <row r="1" spans="1:14">
      <c r="A1" s="1543" t="s">
        <v>568</v>
      </c>
      <c r="B1" s="1544"/>
      <c r="C1" s="1544"/>
      <c r="D1" s="1544"/>
      <c r="E1" s="1544"/>
      <c r="F1" s="1544"/>
      <c r="G1" s="1544"/>
      <c r="H1" s="1545"/>
      <c r="I1" s="1527" t="s">
        <v>319</v>
      </c>
      <c r="J1" s="1528"/>
      <c r="K1" s="1528"/>
      <c r="L1" s="1528"/>
      <c r="M1" s="1528"/>
      <c r="N1" s="1531">
        <f>'F1  Cover'!A18</f>
        <v>3400</v>
      </c>
    </row>
    <row r="2" spans="1:14">
      <c r="A2" s="1533"/>
      <c r="B2" s="1534"/>
      <c r="C2" s="1534"/>
      <c r="D2" s="1534"/>
      <c r="E2" s="1534"/>
      <c r="F2" s="1534"/>
      <c r="G2" s="1534"/>
      <c r="H2" s="1534"/>
      <c r="I2" s="1529"/>
      <c r="J2" s="1530"/>
      <c r="K2" s="1530"/>
      <c r="L2" s="1530"/>
      <c r="M2" s="1530"/>
      <c r="N2" s="1532"/>
    </row>
    <row r="3" spans="1:14">
      <c r="A3" s="464" t="s">
        <v>444</v>
      </c>
      <c r="B3" s="463" t="str">
        <f>'F1 Forecast Consultant'!C3</f>
        <v>WESTERN</v>
      </c>
      <c r="H3" s="279"/>
      <c r="I3" s="1535" t="s">
        <v>320</v>
      </c>
      <c r="J3" s="1536"/>
      <c r="K3" s="1518">
        <f>'F1  Cover'!K8</f>
        <v>1</v>
      </c>
      <c r="L3" s="1519"/>
      <c r="M3" s="1519"/>
      <c r="N3" s="1520"/>
    </row>
    <row r="4" spans="1:14" ht="13.8" thickBot="1">
      <c r="A4" s="1537"/>
      <c r="B4" s="1538"/>
      <c r="C4" s="1538"/>
      <c r="D4" s="1538"/>
      <c r="E4" s="1538"/>
      <c r="F4" s="1538"/>
      <c r="G4" s="1538"/>
      <c r="H4" s="1538"/>
      <c r="I4" s="1539" t="s">
        <v>321</v>
      </c>
      <c r="J4" s="1540"/>
      <c r="K4" s="1541" t="str">
        <f>'F1 Forecast Combined'!E3</f>
        <v>X.002-180-2024/1RF</v>
      </c>
      <c r="L4" s="1541"/>
      <c r="M4" s="1541"/>
      <c r="N4" s="1542"/>
    </row>
    <row r="5" spans="1:14" ht="13.8" thickBot="1">
      <c r="A5" s="442" t="s">
        <v>322</v>
      </c>
      <c r="B5" s="443"/>
      <c r="C5" s="443"/>
      <c r="D5" s="443"/>
      <c r="E5" s="443"/>
      <c r="F5" s="443"/>
      <c r="G5" s="443"/>
      <c r="H5" s="443"/>
      <c r="I5" s="443"/>
      <c r="J5" s="443"/>
      <c r="K5" s="443"/>
      <c r="L5" s="443"/>
      <c r="M5" s="443"/>
      <c r="N5" s="444"/>
    </row>
    <row r="6" spans="1:14" ht="40.200000000000003" thickBot="1">
      <c r="A6" s="445" t="s">
        <v>93</v>
      </c>
      <c r="B6" s="446" t="s">
        <v>0</v>
      </c>
      <c r="C6" s="447" t="s">
        <v>1</v>
      </c>
      <c r="D6" s="435" t="s">
        <v>323</v>
      </c>
      <c r="E6" s="436" t="s">
        <v>324</v>
      </c>
      <c r="F6" s="436" t="s">
        <v>325</v>
      </c>
      <c r="G6" s="436" t="s">
        <v>326</v>
      </c>
      <c r="H6" s="437" t="s">
        <v>327</v>
      </c>
      <c r="I6" s="435" t="s">
        <v>3</v>
      </c>
      <c r="J6" s="436" t="s">
        <v>328</v>
      </c>
      <c r="K6" s="436" t="s">
        <v>329</v>
      </c>
      <c r="L6" s="436" t="s">
        <v>330</v>
      </c>
      <c r="M6" s="436" t="s">
        <v>331</v>
      </c>
      <c r="N6" s="437" t="s">
        <v>332</v>
      </c>
    </row>
    <row r="7" spans="1:14" ht="31.5" customHeight="1">
      <c r="A7" s="366">
        <f>'RRM Pricing Schedule'!A42</f>
        <v>3400</v>
      </c>
      <c r="B7" s="367" t="str">
        <f>'RRM Pricing Schedule'!B42</f>
        <v>SITE INSPECTION AND TENDER PERIOD</v>
      </c>
      <c r="C7" s="379"/>
      <c r="D7" s="385"/>
      <c r="E7" s="368"/>
      <c r="F7" s="368"/>
      <c r="G7" s="368"/>
      <c r="H7" s="386"/>
      <c r="I7" s="449"/>
      <c r="J7" s="368"/>
      <c r="K7" s="368"/>
      <c r="L7" s="368"/>
      <c r="M7" s="368"/>
      <c r="N7" s="450"/>
    </row>
    <row r="8" spans="1:14" ht="31.5" customHeight="1">
      <c r="A8" s="451">
        <f>'RRM Pricing Schedule'!A43</f>
        <v>34.01</v>
      </c>
      <c r="B8" s="371" t="str">
        <f>'RRM Pricing Schedule'!B43</f>
        <v>Site inspection and Tender period</v>
      </c>
      <c r="C8" s="380"/>
      <c r="D8" s="387"/>
      <c r="E8" s="372"/>
      <c r="F8" s="372"/>
      <c r="G8" s="372"/>
      <c r="H8" s="373"/>
      <c r="I8" s="452"/>
      <c r="J8" s="372"/>
      <c r="K8" s="372"/>
      <c r="L8" s="372"/>
      <c r="M8" s="372"/>
      <c r="N8" s="453"/>
    </row>
    <row r="9" spans="1:14" ht="31.5" customHeight="1">
      <c r="A9" s="516"/>
      <c r="B9" s="371" t="str">
        <f>'RRM Pricing Schedule'!B44</f>
        <v>(a)   Service Providers’ Cost</v>
      </c>
      <c r="C9" s="380" t="str">
        <f>'RRM Pricing Schedule'!C44</f>
        <v>Lump Sum</v>
      </c>
      <c r="D9" s="387">
        <v>1</v>
      </c>
      <c r="E9" s="734">
        <f t="shared" ref="E9:E10" si="0">D9</f>
        <v>1</v>
      </c>
      <c r="F9" s="585">
        <f>DATA!$AA$52</f>
        <v>0</v>
      </c>
      <c r="G9" s="441"/>
      <c r="H9" s="373">
        <f>IF((F9+G9)&gt;E9,"ERROR TOO MUCH",(F9+G9))</f>
        <v>0</v>
      </c>
      <c r="I9" s="452">
        <f>'RRM Pricing Schedule'!F44</f>
        <v>0</v>
      </c>
      <c r="J9" s="372">
        <f>D9*I9</f>
        <v>0</v>
      </c>
      <c r="K9" s="372">
        <f>E9*I9</f>
        <v>0</v>
      </c>
      <c r="L9" s="372">
        <f>F9*I9</f>
        <v>0</v>
      </c>
      <c r="M9" s="372">
        <f>G9*I9</f>
        <v>0</v>
      </c>
      <c r="N9" s="373">
        <f>H9*I9</f>
        <v>0</v>
      </c>
    </row>
    <row r="10" spans="1:14" ht="31.5" customHeight="1">
      <c r="A10" s="451"/>
      <c r="B10" s="371" t="str">
        <f>'RRM Pricing Schedule'!B45</f>
        <v>(b)   Provision for venue and bus</v>
      </c>
      <c r="C10" s="380" t="str">
        <f>'RRM Pricing Schedule'!C45</f>
        <v>Prime Cost</v>
      </c>
      <c r="D10" s="387">
        <v>1</v>
      </c>
      <c r="E10" s="734">
        <f t="shared" si="0"/>
        <v>1</v>
      </c>
      <c r="F10" s="585">
        <f>DATA!$AB$52</f>
        <v>0</v>
      </c>
      <c r="G10" s="584">
        <f>'Pg 4 P Sums'!K51-F10</f>
        <v>0</v>
      </c>
      <c r="H10" s="373">
        <f>IF((F10+G10)&gt;E10,"ERROR TOO MUCH",(F10+G10))</f>
        <v>0</v>
      </c>
      <c r="I10" s="452">
        <f>'RRM Pricing Schedule'!F45</f>
        <v>15000</v>
      </c>
      <c r="J10" s="372">
        <f>D10*I10</f>
        <v>15000</v>
      </c>
      <c r="K10" s="372">
        <f>E10*I10</f>
        <v>15000</v>
      </c>
      <c r="L10" s="372">
        <f>F10*I10</f>
        <v>0</v>
      </c>
      <c r="M10" s="372">
        <f>G10*I10</f>
        <v>0</v>
      </c>
      <c r="N10" s="373">
        <f>H10*I10</f>
        <v>0</v>
      </c>
    </row>
    <row r="11" spans="1:14" ht="31.5" customHeight="1">
      <c r="A11" s="451"/>
      <c r="B11" s="371" t="str">
        <f>'RRM Pricing Schedule'!B46</f>
        <v>(c)   Handling cost i.r.o. item 34.01(b)</v>
      </c>
      <c r="C11" s="380" t="str">
        <f>'RRM Pricing Schedule'!C46</f>
        <v>%</v>
      </c>
      <c r="D11" s="387">
        <f>'RRM Pricing Schedule'!D46</f>
        <v>15000</v>
      </c>
      <c r="E11" s="734">
        <f>K10</f>
        <v>15000</v>
      </c>
      <c r="F11" s="372">
        <f t="shared" ref="F11:G11" si="1">L10</f>
        <v>0</v>
      </c>
      <c r="G11" s="372">
        <f t="shared" si="1"/>
        <v>0</v>
      </c>
      <c r="H11" s="373">
        <f>F11+G11</f>
        <v>0</v>
      </c>
      <c r="I11" s="462">
        <f>'RRM Pricing Schedule'!E46</f>
        <v>0</v>
      </c>
      <c r="J11" s="372">
        <f>D11*I11</f>
        <v>0</v>
      </c>
      <c r="K11" s="372">
        <f>E11*I11</f>
        <v>0</v>
      </c>
      <c r="L11" s="372">
        <f>F11*I11</f>
        <v>0</v>
      </c>
      <c r="M11" s="372">
        <f>G11*I11</f>
        <v>0</v>
      </c>
      <c r="N11" s="373">
        <f>H11*I11</f>
        <v>0</v>
      </c>
    </row>
    <row r="12" spans="1:14" ht="31.5" customHeight="1">
      <c r="A12" s="451">
        <f>'RRM Pricing Schedule'!A47</f>
        <v>34.020000000000003</v>
      </c>
      <c r="B12" s="371" t="str">
        <f>'RRM Pricing Schedule'!B47</f>
        <v>Tender Evaluation Report</v>
      </c>
      <c r="C12" s="380"/>
      <c r="D12" s="387"/>
      <c r="E12" s="465"/>
      <c r="F12" s="465"/>
      <c r="G12" s="465"/>
      <c r="H12" s="466"/>
      <c r="I12" s="467"/>
      <c r="J12" s="465"/>
      <c r="K12" s="465"/>
      <c r="L12" s="465"/>
      <c r="M12" s="465"/>
      <c r="N12" s="466"/>
    </row>
    <row r="13" spans="1:14" ht="31.5" customHeight="1">
      <c r="A13" s="516"/>
      <c r="B13" s="371" t="str">
        <f>'RRM Pricing Schedule'!B48</f>
        <v>(a)   Tender Evaluation and Report</v>
      </c>
      <c r="C13" s="380" t="str">
        <f>'RRM Pricing Schedule'!C48</f>
        <v>Lump Sum</v>
      </c>
      <c r="D13" s="387">
        <v>1</v>
      </c>
      <c r="E13" s="734">
        <f>D13</f>
        <v>1</v>
      </c>
      <c r="F13" s="585">
        <f>DATA!$AC$52</f>
        <v>0</v>
      </c>
      <c r="G13" s="441"/>
      <c r="H13" s="373">
        <f>IF((F13+G13)&gt;E13,"ERROR TOO MUCH",(F13+G13))</f>
        <v>0</v>
      </c>
      <c r="I13" s="452">
        <f>'RRM Pricing Schedule'!F48</f>
        <v>0</v>
      </c>
      <c r="J13" s="372">
        <f>D13*I13</f>
        <v>0</v>
      </c>
      <c r="K13" s="372">
        <f>E13*I13</f>
        <v>0</v>
      </c>
      <c r="L13" s="372">
        <f>F13*I13</f>
        <v>0</v>
      </c>
      <c r="M13" s="372">
        <f>G13*I13</f>
        <v>0</v>
      </c>
      <c r="N13" s="373">
        <f>H13*I13</f>
        <v>0</v>
      </c>
    </row>
    <row r="14" spans="1:14" ht="31.5" customHeight="1">
      <c r="A14" s="516"/>
      <c r="B14" s="371" t="str">
        <f>'RRM Pricing Schedule'!B49</f>
        <v>(b)   Disbursements</v>
      </c>
      <c r="C14" s="380" t="str">
        <f>'RRM Pricing Schedule'!C49</f>
        <v>Lump Sum</v>
      </c>
      <c r="D14" s="387">
        <v>1</v>
      </c>
      <c r="E14" s="734">
        <f t="shared" ref="E14:E15" si="2">D14</f>
        <v>1</v>
      </c>
      <c r="F14" s="585">
        <f>DATA!$AD$52</f>
        <v>0</v>
      </c>
      <c r="G14" s="441"/>
      <c r="H14" s="373">
        <f t="shared" ref="H14:H15" si="3">IF((F14+G14)&gt;E14,"ERROR TOO MUCH",(F14+G14))</f>
        <v>0</v>
      </c>
      <c r="I14" s="452">
        <f>'RRM Pricing Schedule'!F49</f>
        <v>0</v>
      </c>
      <c r="J14" s="372">
        <f t="shared" ref="J14:J15" si="4">D14*I14</f>
        <v>0</v>
      </c>
      <c r="K14" s="372">
        <f t="shared" ref="K14:K15" si="5">E14*I14</f>
        <v>0</v>
      </c>
      <c r="L14" s="372">
        <f t="shared" ref="L14:L15" si="6">F14*I14</f>
        <v>0</v>
      </c>
      <c r="M14" s="372">
        <f t="shared" ref="M14:M15" si="7">G14*I14</f>
        <v>0</v>
      </c>
      <c r="N14" s="373">
        <f t="shared" ref="N14:N15" si="8">H14*I14</f>
        <v>0</v>
      </c>
    </row>
    <row r="15" spans="1:14" ht="31.5" customHeight="1" thickBot="1">
      <c r="A15" s="516">
        <f>'RRM Pricing Schedule'!A50</f>
        <v>34.03</v>
      </c>
      <c r="B15" s="371" t="str">
        <f>'RRM Pricing Schedule'!B50</f>
        <v>Preparation of Works contract documents</v>
      </c>
      <c r="C15" s="380" t="str">
        <f>'RRM Pricing Schedule'!C50</f>
        <v>Lump Sum</v>
      </c>
      <c r="D15" s="387">
        <v>1</v>
      </c>
      <c r="E15" s="734">
        <f t="shared" si="2"/>
        <v>1</v>
      </c>
      <c r="F15" s="585">
        <f>DATA!$AE$52</f>
        <v>0</v>
      </c>
      <c r="G15" s="441"/>
      <c r="H15" s="373">
        <f t="shared" si="3"/>
        <v>0</v>
      </c>
      <c r="I15" s="452">
        <f>'RRM Pricing Schedule'!F50</f>
        <v>0</v>
      </c>
      <c r="J15" s="372">
        <f t="shared" si="4"/>
        <v>0</v>
      </c>
      <c r="K15" s="372">
        <f t="shared" si="5"/>
        <v>0</v>
      </c>
      <c r="L15" s="372">
        <f t="shared" si="6"/>
        <v>0</v>
      </c>
      <c r="M15" s="372">
        <f t="shared" si="7"/>
        <v>0</v>
      </c>
      <c r="N15" s="373">
        <f t="shared" si="8"/>
        <v>0</v>
      </c>
    </row>
    <row r="16" spans="1:14" ht="31.5" customHeight="1" thickBot="1">
      <c r="A16" s="1500" t="s">
        <v>333</v>
      </c>
      <c r="B16" s="1500"/>
      <c r="C16" s="1500"/>
      <c r="D16" s="435"/>
      <c r="E16" s="436"/>
      <c r="F16" s="436"/>
      <c r="G16" s="436"/>
      <c r="H16" s="437"/>
      <c r="I16" s="435"/>
      <c r="J16" s="439">
        <f>SUM(J8:J15)</f>
        <v>15000</v>
      </c>
      <c r="K16" s="439">
        <f>SUM(K8:K15)</f>
        <v>15000</v>
      </c>
      <c r="L16" s="439">
        <f>SUM(L8:L15)</f>
        <v>0</v>
      </c>
      <c r="M16" s="439">
        <f>SUM(M8:M15)</f>
        <v>0</v>
      </c>
      <c r="N16" s="440">
        <f>SUM(N8:N15)</f>
        <v>0</v>
      </c>
    </row>
    <row r="19" spans="1:14" ht="30.9" customHeight="1">
      <c r="A19" s="545" t="s">
        <v>382</v>
      </c>
      <c r="B19" s="545"/>
      <c r="J19" s="455">
        <f>J9+J13+J14+J15</f>
        <v>0</v>
      </c>
      <c r="K19" s="455">
        <f t="shared" ref="K19:N19" si="9">K9+K13+K14+K15</f>
        <v>0</v>
      </c>
      <c r="L19" s="455">
        <f t="shared" si="9"/>
        <v>0</v>
      </c>
      <c r="M19" s="455">
        <f t="shared" si="9"/>
        <v>0</v>
      </c>
      <c r="N19" s="455">
        <f t="shared" si="9"/>
        <v>0</v>
      </c>
    </row>
    <row r="20" spans="1:14" ht="30.9" customHeight="1">
      <c r="A20" s="364" t="s">
        <v>384</v>
      </c>
      <c r="J20" s="455">
        <f>J10+J11</f>
        <v>15000</v>
      </c>
      <c r="K20" s="455">
        <f t="shared" ref="K20:N20" si="10">K10+K11</f>
        <v>15000</v>
      </c>
      <c r="L20" s="455">
        <f t="shared" si="10"/>
        <v>0</v>
      </c>
      <c r="M20" s="455">
        <f t="shared" si="10"/>
        <v>0</v>
      </c>
      <c r="N20" s="455">
        <f t="shared" si="10"/>
        <v>0</v>
      </c>
    </row>
    <row r="21" spans="1:14" ht="30.9" customHeight="1" thickBot="1">
      <c r="A21" s="364" t="s">
        <v>383</v>
      </c>
      <c r="J21" s="517">
        <f>SUM(J19:J20)</f>
        <v>15000</v>
      </c>
      <c r="K21" s="517">
        <f t="shared" ref="K21:N21" si="11">SUM(K19:K20)</f>
        <v>15000</v>
      </c>
      <c r="L21" s="517">
        <f t="shared" si="11"/>
        <v>0</v>
      </c>
      <c r="M21" s="517">
        <f t="shared" si="11"/>
        <v>0</v>
      </c>
      <c r="N21" s="517">
        <f t="shared" si="11"/>
        <v>0</v>
      </c>
    </row>
    <row r="22" spans="1:14" ht="13.8" thickTop="1"/>
  </sheetData>
  <mergeCells count="10">
    <mergeCell ref="A4:H4"/>
    <mergeCell ref="I4:J4"/>
    <mergeCell ref="K4:N4"/>
    <mergeCell ref="A16:C16"/>
    <mergeCell ref="A1:H1"/>
    <mergeCell ref="I1:M2"/>
    <mergeCell ref="N1:N2"/>
    <mergeCell ref="A2:H2"/>
    <mergeCell ref="I3:J3"/>
    <mergeCell ref="K3:N3"/>
  </mergeCells>
  <conditionalFormatting sqref="H10:H11">
    <cfRule type="containsText" dxfId="29" priority="63" operator="containsText" text="ERROR">
      <formula>NOT(ISERROR(SEARCH("ERROR",H10)))</formula>
    </cfRule>
  </conditionalFormatting>
  <conditionalFormatting sqref="H13:H15">
    <cfRule type="containsText" dxfId="28" priority="61" operator="containsText" text="ERROR">
      <formula>NOT(ISERROR(SEARCH("ERROR",H13)))</formula>
    </cfRule>
  </conditionalFormatting>
  <conditionalFormatting sqref="E13:E15">
    <cfRule type="expression" dxfId="27" priority="60">
      <formula>H13="ERROR TOO MUCH"</formula>
    </cfRule>
  </conditionalFormatting>
  <conditionalFormatting sqref="H9">
    <cfRule type="containsText" dxfId="26" priority="1" operator="containsText" text="ERROR">
      <formula>NOT(ISERROR(SEARCH("ERROR",H9)))</formula>
    </cfRule>
  </conditionalFormatting>
  <dataValidations count="1">
    <dataValidation type="decimal" operator="lessThanOrEqual" allowBlank="1" showInputMessage="1" showErrorMessage="1" sqref="H9:H11 H13:H15" xr:uid="{00000000-0002-0000-1100-000000000000}">
      <formula1>1</formula1>
    </dataValidation>
  </dataValidations>
  <pageMargins left="0" right="0" top="0.39370078740157483" bottom="0.39370078740157483" header="0.51181102362204722" footer="0.51181102362204722"/>
  <pageSetup paperSize="9" scale="73" fitToHeight="0" orientation="landscape" r:id="rId1"/>
  <headerFooter alignWithMargins="0">
    <oddHeader>&amp;L&amp;"Calibri"&amp;10&amp;K000000 Sensitivity - General&amp;1#_x000D_</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0">
    <tabColor rgb="FF0070C0"/>
    <pageSetUpPr fitToPage="1"/>
  </sheetPr>
  <dimension ref="A1:N58"/>
  <sheetViews>
    <sheetView topLeftCell="A41" zoomScale="92" zoomScaleNormal="92" workbookViewId="0">
      <selection activeCell="D40" sqref="D40"/>
    </sheetView>
  </sheetViews>
  <sheetFormatPr defaultRowHeight="13.2"/>
  <cols>
    <col min="1" max="1" width="9.109375" style="364"/>
    <col min="2" max="2" width="36.88671875" style="364" customWidth="1"/>
    <col min="3" max="3" width="19.5546875" style="364" customWidth="1"/>
    <col min="4" max="5" width="12.6640625" style="364" bestFit="1" customWidth="1"/>
    <col min="6" max="8" width="11.6640625" style="364" customWidth="1"/>
    <col min="9" max="9" width="12.6640625" style="364" bestFit="1" customWidth="1"/>
    <col min="10" max="11" width="12.88671875" style="364" bestFit="1" customWidth="1"/>
    <col min="12" max="12" width="12.44140625" style="364" customWidth="1"/>
    <col min="13" max="13" width="11.33203125" style="364" bestFit="1" customWidth="1"/>
    <col min="14" max="14" width="11.6640625" style="364" bestFit="1" customWidth="1"/>
    <col min="15" max="257" width="9.109375" style="364"/>
    <col min="258" max="258" width="25.88671875" style="364" customWidth="1"/>
    <col min="259" max="259" width="13.88671875" style="364" customWidth="1"/>
    <col min="260" max="265" width="9.109375" style="364"/>
    <col min="266" max="266" width="13.88671875" style="364" bestFit="1" customWidth="1"/>
    <col min="267" max="268" width="11.6640625" style="364" bestFit="1" customWidth="1"/>
    <col min="269" max="269" width="11.5546875" style="364" customWidth="1"/>
    <col min="270" max="270" width="16.5546875" style="364" customWidth="1"/>
    <col min="271" max="513" width="9.109375" style="364"/>
    <col min="514" max="514" width="25.88671875" style="364" customWidth="1"/>
    <col min="515" max="515" width="13.88671875" style="364" customWidth="1"/>
    <col min="516" max="521" width="9.109375" style="364"/>
    <col min="522" max="522" width="13.88671875" style="364" bestFit="1" customWidth="1"/>
    <col min="523" max="524" width="11.6640625" style="364" bestFit="1" customWidth="1"/>
    <col min="525" max="525" width="11.5546875" style="364" customWidth="1"/>
    <col min="526" max="526" width="16.5546875" style="364" customWidth="1"/>
    <col min="527" max="769" width="9.109375" style="364"/>
    <col min="770" max="770" width="25.88671875" style="364" customWidth="1"/>
    <col min="771" max="771" width="13.88671875" style="364" customWidth="1"/>
    <col min="772" max="777" width="9.109375" style="364"/>
    <col min="778" max="778" width="13.88671875" style="364" bestFit="1" customWidth="1"/>
    <col min="779" max="780" width="11.6640625" style="364" bestFit="1" customWidth="1"/>
    <col min="781" max="781" width="11.5546875" style="364" customWidth="1"/>
    <col min="782" max="782" width="16.5546875" style="364" customWidth="1"/>
    <col min="783" max="1025" width="9.109375" style="364"/>
    <col min="1026" max="1026" width="25.88671875" style="364" customWidth="1"/>
    <col min="1027" max="1027" width="13.88671875" style="364" customWidth="1"/>
    <col min="1028" max="1033" width="9.109375" style="364"/>
    <col min="1034" max="1034" width="13.88671875" style="364" bestFit="1" customWidth="1"/>
    <col min="1035" max="1036" width="11.6640625" style="364" bestFit="1" customWidth="1"/>
    <col min="1037" max="1037" width="11.5546875" style="364" customWidth="1"/>
    <col min="1038" max="1038" width="16.5546875" style="364" customWidth="1"/>
    <col min="1039" max="1281" width="9.109375" style="364"/>
    <col min="1282" max="1282" width="25.88671875" style="364" customWidth="1"/>
    <col min="1283" max="1283" width="13.88671875" style="364" customWidth="1"/>
    <col min="1284" max="1289" width="9.109375" style="364"/>
    <col min="1290" max="1290" width="13.88671875" style="364" bestFit="1" customWidth="1"/>
    <col min="1291" max="1292" width="11.6640625" style="364" bestFit="1" customWidth="1"/>
    <col min="1293" max="1293" width="11.5546875" style="364" customWidth="1"/>
    <col min="1294" max="1294" width="16.5546875" style="364" customWidth="1"/>
    <col min="1295" max="1537" width="9.109375" style="364"/>
    <col min="1538" max="1538" width="25.88671875" style="364" customWidth="1"/>
    <col min="1539" max="1539" width="13.88671875" style="364" customWidth="1"/>
    <col min="1540" max="1545" width="9.109375" style="364"/>
    <col min="1546" max="1546" width="13.88671875" style="364" bestFit="1" customWidth="1"/>
    <col min="1547" max="1548" width="11.6640625" style="364" bestFit="1" customWidth="1"/>
    <col min="1549" max="1549" width="11.5546875" style="364" customWidth="1"/>
    <col min="1550" max="1550" width="16.5546875" style="364" customWidth="1"/>
    <col min="1551" max="1793" width="9.109375" style="364"/>
    <col min="1794" max="1794" width="25.88671875" style="364" customWidth="1"/>
    <col min="1795" max="1795" width="13.88671875" style="364" customWidth="1"/>
    <col min="1796" max="1801" width="9.109375" style="364"/>
    <col min="1802" max="1802" width="13.88671875" style="364" bestFit="1" customWidth="1"/>
    <col min="1803" max="1804" width="11.6640625" style="364" bestFit="1" customWidth="1"/>
    <col min="1805" max="1805" width="11.5546875" style="364" customWidth="1"/>
    <col min="1806" max="1806" width="16.5546875" style="364" customWidth="1"/>
    <col min="1807" max="2049" width="9.109375" style="364"/>
    <col min="2050" max="2050" width="25.88671875" style="364" customWidth="1"/>
    <col min="2051" max="2051" width="13.88671875" style="364" customWidth="1"/>
    <col min="2052" max="2057" width="9.109375" style="364"/>
    <col min="2058" max="2058" width="13.88671875" style="364" bestFit="1" customWidth="1"/>
    <col min="2059" max="2060" width="11.6640625" style="364" bestFit="1" customWidth="1"/>
    <col min="2061" max="2061" width="11.5546875" style="364" customWidth="1"/>
    <col min="2062" max="2062" width="16.5546875" style="364" customWidth="1"/>
    <col min="2063" max="2305" width="9.109375" style="364"/>
    <col min="2306" max="2306" width="25.88671875" style="364" customWidth="1"/>
    <col min="2307" max="2307" width="13.88671875" style="364" customWidth="1"/>
    <col min="2308" max="2313" width="9.109375" style="364"/>
    <col min="2314" max="2314" width="13.88671875" style="364" bestFit="1" customWidth="1"/>
    <col min="2315" max="2316" width="11.6640625" style="364" bestFit="1" customWidth="1"/>
    <col min="2317" max="2317" width="11.5546875" style="364" customWidth="1"/>
    <col min="2318" max="2318" width="16.5546875" style="364" customWidth="1"/>
    <col min="2319" max="2561" width="9.109375" style="364"/>
    <col min="2562" max="2562" width="25.88671875" style="364" customWidth="1"/>
    <col min="2563" max="2563" width="13.88671875" style="364" customWidth="1"/>
    <col min="2564" max="2569" width="9.109375" style="364"/>
    <col min="2570" max="2570" width="13.88671875" style="364" bestFit="1" customWidth="1"/>
    <col min="2571" max="2572" width="11.6640625" style="364" bestFit="1" customWidth="1"/>
    <col min="2573" max="2573" width="11.5546875" style="364" customWidth="1"/>
    <col min="2574" max="2574" width="16.5546875" style="364" customWidth="1"/>
    <col min="2575" max="2817" width="9.109375" style="364"/>
    <col min="2818" max="2818" width="25.88671875" style="364" customWidth="1"/>
    <col min="2819" max="2819" width="13.88671875" style="364" customWidth="1"/>
    <col min="2820" max="2825" width="9.109375" style="364"/>
    <col min="2826" max="2826" width="13.88671875" style="364" bestFit="1" customWidth="1"/>
    <col min="2827" max="2828" width="11.6640625" style="364" bestFit="1" customWidth="1"/>
    <col min="2829" max="2829" width="11.5546875" style="364" customWidth="1"/>
    <col min="2830" max="2830" width="16.5546875" style="364" customWidth="1"/>
    <col min="2831" max="3073" width="9.109375" style="364"/>
    <col min="3074" max="3074" width="25.88671875" style="364" customWidth="1"/>
    <col min="3075" max="3075" width="13.88671875" style="364" customWidth="1"/>
    <col min="3076" max="3081" width="9.109375" style="364"/>
    <col min="3082" max="3082" width="13.88671875" style="364" bestFit="1" customWidth="1"/>
    <col min="3083" max="3084" width="11.6640625" style="364" bestFit="1" customWidth="1"/>
    <col min="3085" max="3085" width="11.5546875" style="364" customWidth="1"/>
    <col min="3086" max="3086" width="16.5546875" style="364" customWidth="1"/>
    <col min="3087" max="3329" width="9.109375" style="364"/>
    <col min="3330" max="3330" width="25.88671875" style="364" customWidth="1"/>
    <col min="3331" max="3331" width="13.88671875" style="364" customWidth="1"/>
    <col min="3332" max="3337" width="9.109375" style="364"/>
    <col min="3338" max="3338" width="13.88671875" style="364" bestFit="1" customWidth="1"/>
    <col min="3339" max="3340" width="11.6640625" style="364" bestFit="1" customWidth="1"/>
    <col min="3341" max="3341" width="11.5546875" style="364" customWidth="1"/>
    <col min="3342" max="3342" width="16.5546875" style="364" customWidth="1"/>
    <col min="3343" max="3585" width="9.109375" style="364"/>
    <col min="3586" max="3586" width="25.88671875" style="364" customWidth="1"/>
    <col min="3587" max="3587" width="13.88671875" style="364" customWidth="1"/>
    <col min="3588" max="3593" width="9.109375" style="364"/>
    <col min="3594" max="3594" width="13.88671875" style="364" bestFit="1" customWidth="1"/>
    <col min="3595" max="3596" width="11.6640625" style="364" bestFit="1" customWidth="1"/>
    <col min="3597" max="3597" width="11.5546875" style="364" customWidth="1"/>
    <col min="3598" max="3598" width="16.5546875" style="364" customWidth="1"/>
    <col min="3599" max="3841" width="9.109375" style="364"/>
    <col min="3842" max="3842" width="25.88671875" style="364" customWidth="1"/>
    <col min="3843" max="3843" width="13.88671875" style="364" customWidth="1"/>
    <col min="3844" max="3849" width="9.109375" style="364"/>
    <col min="3850" max="3850" width="13.88671875" style="364" bestFit="1" customWidth="1"/>
    <col min="3851" max="3852" width="11.6640625" style="364" bestFit="1" customWidth="1"/>
    <col min="3853" max="3853" width="11.5546875" style="364" customWidth="1"/>
    <col min="3854" max="3854" width="16.5546875" style="364" customWidth="1"/>
    <col min="3855" max="4097" width="9.109375" style="364"/>
    <col min="4098" max="4098" width="25.88671875" style="364" customWidth="1"/>
    <col min="4099" max="4099" width="13.88671875" style="364" customWidth="1"/>
    <col min="4100" max="4105" width="9.109375" style="364"/>
    <col min="4106" max="4106" width="13.88671875" style="364" bestFit="1" customWidth="1"/>
    <col min="4107" max="4108" width="11.6640625" style="364" bestFit="1" customWidth="1"/>
    <col min="4109" max="4109" width="11.5546875" style="364" customWidth="1"/>
    <col min="4110" max="4110" width="16.5546875" style="364" customWidth="1"/>
    <col min="4111" max="4353" width="9.109375" style="364"/>
    <col min="4354" max="4354" width="25.88671875" style="364" customWidth="1"/>
    <col min="4355" max="4355" width="13.88671875" style="364" customWidth="1"/>
    <col min="4356" max="4361" width="9.109375" style="364"/>
    <col min="4362" max="4362" width="13.88671875" style="364" bestFit="1" customWidth="1"/>
    <col min="4363" max="4364" width="11.6640625" style="364" bestFit="1" customWidth="1"/>
    <col min="4365" max="4365" width="11.5546875" style="364" customWidth="1"/>
    <col min="4366" max="4366" width="16.5546875" style="364" customWidth="1"/>
    <col min="4367" max="4609" width="9.109375" style="364"/>
    <col min="4610" max="4610" width="25.88671875" style="364" customWidth="1"/>
    <col min="4611" max="4611" width="13.88671875" style="364" customWidth="1"/>
    <col min="4612" max="4617" width="9.109375" style="364"/>
    <col min="4618" max="4618" width="13.88671875" style="364" bestFit="1" customWidth="1"/>
    <col min="4619" max="4620" width="11.6640625" style="364" bestFit="1" customWidth="1"/>
    <col min="4621" max="4621" width="11.5546875" style="364" customWidth="1"/>
    <col min="4622" max="4622" width="16.5546875" style="364" customWidth="1"/>
    <col min="4623" max="4865" width="9.109375" style="364"/>
    <col min="4866" max="4866" width="25.88671875" style="364" customWidth="1"/>
    <col min="4867" max="4867" width="13.88671875" style="364" customWidth="1"/>
    <col min="4868" max="4873" width="9.109375" style="364"/>
    <col min="4874" max="4874" width="13.88671875" style="364" bestFit="1" customWidth="1"/>
    <col min="4875" max="4876" width="11.6640625" style="364" bestFit="1" customWidth="1"/>
    <col min="4877" max="4877" width="11.5546875" style="364" customWidth="1"/>
    <col min="4878" max="4878" width="16.5546875" style="364" customWidth="1"/>
    <col min="4879" max="5121" width="9.109375" style="364"/>
    <col min="5122" max="5122" width="25.88671875" style="364" customWidth="1"/>
    <col min="5123" max="5123" width="13.88671875" style="364" customWidth="1"/>
    <col min="5124" max="5129" width="9.109375" style="364"/>
    <col min="5130" max="5130" width="13.88671875" style="364" bestFit="1" customWidth="1"/>
    <col min="5131" max="5132" width="11.6640625" style="364" bestFit="1" customWidth="1"/>
    <col min="5133" max="5133" width="11.5546875" style="364" customWidth="1"/>
    <col min="5134" max="5134" width="16.5546875" style="364" customWidth="1"/>
    <col min="5135" max="5377" width="9.109375" style="364"/>
    <col min="5378" max="5378" width="25.88671875" style="364" customWidth="1"/>
    <col min="5379" max="5379" width="13.88671875" style="364" customWidth="1"/>
    <col min="5380" max="5385" width="9.109375" style="364"/>
    <col min="5386" max="5386" width="13.88671875" style="364" bestFit="1" customWidth="1"/>
    <col min="5387" max="5388" width="11.6640625" style="364" bestFit="1" customWidth="1"/>
    <col min="5389" max="5389" width="11.5546875" style="364" customWidth="1"/>
    <col min="5390" max="5390" width="16.5546875" style="364" customWidth="1"/>
    <col min="5391" max="5633" width="9.109375" style="364"/>
    <col min="5634" max="5634" width="25.88671875" style="364" customWidth="1"/>
    <col min="5635" max="5635" width="13.88671875" style="364" customWidth="1"/>
    <col min="5636" max="5641" width="9.109375" style="364"/>
    <col min="5642" max="5642" width="13.88671875" style="364" bestFit="1" customWidth="1"/>
    <col min="5643" max="5644" width="11.6640625" style="364" bestFit="1" customWidth="1"/>
    <col min="5645" max="5645" width="11.5546875" style="364" customWidth="1"/>
    <col min="5646" max="5646" width="16.5546875" style="364" customWidth="1"/>
    <col min="5647" max="5889" width="9.109375" style="364"/>
    <col min="5890" max="5890" width="25.88671875" style="364" customWidth="1"/>
    <col min="5891" max="5891" width="13.88671875" style="364" customWidth="1"/>
    <col min="5892" max="5897" width="9.109375" style="364"/>
    <col min="5898" max="5898" width="13.88671875" style="364" bestFit="1" customWidth="1"/>
    <col min="5899" max="5900" width="11.6640625" style="364" bestFit="1" customWidth="1"/>
    <col min="5901" max="5901" width="11.5546875" style="364" customWidth="1"/>
    <col min="5902" max="5902" width="16.5546875" style="364" customWidth="1"/>
    <col min="5903" max="6145" width="9.109375" style="364"/>
    <col min="6146" max="6146" width="25.88671875" style="364" customWidth="1"/>
    <col min="6147" max="6147" width="13.88671875" style="364" customWidth="1"/>
    <col min="6148" max="6153" width="9.109375" style="364"/>
    <col min="6154" max="6154" width="13.88671875" style="364" bestFit="1" customWidth="1"/>
    <col min="6155" max="6156" width="11.6640625" style="364" bestFit="1" customWidth="1"/>
    <col min="6157" max="6157" width="11.5546875" style="364" customWidth="1"/>
    <col min="6158" max="6158" width="16.5546875" style="364" customWidth="1"/>
    <col min="6159" max="6401" width="9.109375" style="364"/>
    <col min="6402" max="6402" width="25.88671875" style="364" customWidth="1"/>
    <col min="6403" max="6403" width="13.88671875" style="364" customWidth="1"/>
    <col min="6404" max="6409" width="9.109375" style="364"/>
    <col min="6410" max="6410" width="13.88671875" style="364" bestFit="1" customWidth="1"/>
    <col min="6411" max="6412" width="11.6640625" style="364" bestFit="1" customWidth="1"/>
    <col min="6413" max="6413" width="11.5546875" style="364" customWidth="1"/>
    <col min="6414" max="6414" width="16.5546875" style="364" customWidth="1"/>
    <col min="6415" max="6657" width="9.109375" style="364"/>
    <col min="6658" max="6658" width="25.88671875" style="364" customWidth="1"/>
    <col min="6659" max="6659" width="13.88671875" style="364" customWidth="1"/>
    <col min="6660" max="6665" width="9.109375" style="364"/>
    <col min="6666" max="6666" width="13.88671875" style="364" bestFit="1" customWidth="1"/>
    <col min="6667" max="6668" width="11.6640625" style="364" bestFit="1" customWidth="1"/>
    <col min="6669" max="6669" width="11.5546875" style="364" customWidth="1"/>
    <col min="6670" max="6670" width="16.5546875" style="364" customWidth="1"/>
    <col min="6671" max="6913" width="9.109375" style="364"/>
    <col min="6914" max="6914" width="25.88671875" style="364" customWidth="1"/>
    <col min="6915" max="6915" width="13.88671875" style="364" customWidth="1"/>
    <col min="6916" max="6921" width="9.109375" style="364"/>
    <col min="6922" max="6922" width="13.88671875" style="364" bestFit="1" customWidth="1"/>
    <col min="6923" max="6924" width="11.6640625" style="364" bestFit="1" customWidth="1"/>
    <col min="6925" max="6925" width="11.5546875" style="364" customWidth="1"/>
    <col min="6926" max="6926" width="16.5546875" style="364" customWidth="1"/>
    <col min="6927" max="7169" width="9.109375" style="364"/>
    <col min="7170" max="7170" width="25.88671875" style="364" customWidth="1"/>
    <col min="7171" max="7171" width="13.88671875" style="364" customWidth="1"/>
    <col min="7172" max="7177" width="9.109375" style="364"/>
    <col min="7178" max="7178" width="13.88671875" style="364" bestFit="1" customWidth="1"/>
    <col min="7179" max="7180" width="11.6640625" style="364" bestFit="1" customWidth="1"/>
    <col min="7181" max="7181" width="11.5546875" style="364" customWidth="1"/>
    <col min="7182" max="7182" width="16.5546875" style="364" customWidth="1"/>
    <col min="7183" max="7425" width="9.109375" style="364"/>
    <col min="7426" max="7426" width="25.88671875" style="364" customWidth="1"/>
    <col min="7427" max="7427" width="13.88671875" style="364" customWidth="1"/>
    <col min="7428" max="7433" width="9.109375" style="364"/>
    <col min="7434" max="7434" width="13.88671875" style="364" bestFit="1" customWidth="1"/>
    <col min="7435" max="7436" width="11.6640625" style="364" bestFit="1" customWidth="1"/>
    <col min="7437" max="7437" width="11.5546875" style="364" customWidth="1"/>
    <col min="7438" max="7438" width="16.5546875" style="364" customWidth="1"/>
    <col min="7439" max="7681" width="9.109375" style="364"/>
    <col min="7682" max="7682" width="25.88671875" style="364" customWidth="1"/>
    <col min="7683" max="7683" width="13.88671875" style="364" customWidth="1"/>
    <col min="7684" max="7689" width="9.109375" style="364"/>
    <col min="7690" max="7690" width="13.88671875" style="364" bestFit="1" customWidth="1"/>
    <col min="7691" max="7692" width="11.6640625" style="364" bestFit="1" customWidth="1"/>
    <col min="7693" max="7693" width="11.5546875" style="364" customWidth="1"/>
    <col min="7694" max="7694" width="16.5546875" style="364" customWidth="1"/>
    <col min="7695" max="7937" width="9.109375" style="364"/>
    <col min="7938" max="7938" width="25.88671875" style="364" customWidth="1"/>
    <col min="7939" max="7939" width="13.88671875" style="364" customWidth="1"/>
    <col min="7940" max="7945" width="9.109375" style="364"/>
    <col min="7946" max="7946" width="13.88671875" style="364" bestFit="1" customWidth="1"/>
    <col min="7947" max="7948" width="11.6640625" style="364" bestFit="1" customWidth="1"/>
    <col min="7949" max="7949" width="11.5546875" style="364" customWidth="1"/>
    <col min="7950" max="7950" width="16.5546875" style="364" customWidth="1"/>
    <col min="7951" max="8193" width="9.109375" style="364"/>
    <col min="8194" max="8194" width="25.88671875" style="364" customWidth="1"/>
    <col min="8195" max="8195" width="13.88671875" style="364" customWidth="1"/>
    <col min="8196" max="8201" width="9.109375" style="364"/>
    <col min="8202" max="8202" width="13.88671875" style="364" bestFit="1" customWidth="1"/>
    <col min="8203" max="8204" width="11.6640625" style="364" bestFit="1" customWidth="1"/>
    <col min="8205" max="8205" width="11.5546875" style="364" customWidth="1"/>
    <col min="8206" max="8206" width="16.5546875" style="364" customWidth="1"/>
    <col min="8207" max="8449" width="9.109375" style="364"/>
    <col min="8450" max="8450" width="25.88671875" style="364" customWidth="1"/>
    <col min="8451" max="8451" width="13.88671875" style="364" customWidth="1"/>
    <col min="8452" max="8457" width="9.109375" style="364"/>
    <col min="8458" max="8458" width="13.88671875" style="364" bestFit="1" customWidth="1"/>
    <col min="8459" max="8460" width="11.6640625" style="364" bestFit="1" customWidth="1"/>
    <col min="8461" max="8461" width="11.5546875" style="364" customWidth="1"/>
    <col min="8462" max="8462" width="16.5546875" style="364" customWidth="1"/>
    <col min="8463" max="8705" width="9.109375" style="364"/>
    <col min="8706" max="8706" width="25.88671875" style="364" customWidth="1"/>
    <col min="8707" max="8707" width="13.88671875" style="364" customWidth="1"/>
    <col min="8708" max="8713" width="9.109375" style="364"/>
    <col min="8714" max="8714" width="13.88671875" style="364" bestFit="1" customWidth="1"/>
    <col min="8715" max="8716" width="11.6640625" style="364" bestFit="1" customWidth="1"/>
    <col min="8717" max="8717" width="11.5546875" style="364" customWidth="1"/>
    <col min="8718" max="8718" width="16.5546875" style="364" customWidth="1"/>
    <col min="8719" max="8961" width="9.109375" style="364"/>
    <col min="8962" max="8962" width="25.88671875" style="364" customWidth="1"/>
    <col min="8963" max="8963" width="13.88671875" style="364" customWidth="1"/>
    <col min="8964" max="8969" width="9.109375" style="364"/>
    <col min="8970" max="8970" width="13.88671875" style="364" bestFit="1" customWidth="1"/>
    <col min="8971" max="8972" width="11.6640625" style="364" bestFit="1" customWidth="1"/>
    <col min="8973" max="8973" width="11.5546875" style="364" customWidth="1"/>
    <col min="8974" max="8974" width="16.5546875" style="364" customWidth="1"/>
    <col min="8975" max="9217" width="9.109375" style="364"/>
    <col min="9218" max="9218" width="25.88671875" style="364" customWidth="1"/>
    <col min="9219" max="9219" width="13.88671875" style="364" customWidth="1"/>
    <col min="9220" max="9225" width="9.109375" style="364"/>
    <col min="9226" max="9226" width="13.88671875" style="364" bestFit="1" customWidth="1"/>
    <col min="9227" max="9228" width="11.6640625" style="364" bestFit="1" customWidth="1"/>
    <col min="9229" max="9229" width="11.5546875" style="364" customWidth="1"/>
    <col min="9230" max="9230" width="16.5546875" style="364" customWidth="1"/>
    <col min="9231" max="9473" width="9.109375" style="364"/>
    <col min="9474" max="9474" width="25.88671875" style="364" customWidth="1"/>
    <col min="9475" max="9475" width="13.88671875" style="364" customWidth="1"/>
    <col min="9476" max="9481" width="9.109375" style="364"/>
    <col min="9482" max="9482" width="13.88671875" style="364" bestFit="1" customWidth="1"/>
    <col min="9483" max="9484" width="11.6640625" style="364" bestFit="1" customWidth="1"/>
    <col min="9485" max="9485" width="11.5546875" style="364" customWidth="1"/>
    <col min="9486" max="9486" width="16.5546875" style="364" customWidth="1"/>
    <col min="9487" max="9729" width="9.109375" style="364"/>
    <col min="9730" max="9730" width="25.88671875" style="364" customWidth="1"/>
    <col min="9731" max="9731" width="13.88671875" style="364" customWidth="1"/>
    <col min="9732" max="9737" width="9.109375" style="364"/>
    <col min="9738" max="9738" width="13.88671875" style="364" bestFit="1" customWidth="1"/>
    <col min="9739" max="9740" width="11.6640625" style="364" bestFit="1" customWidth="1"/>
    <col min="9741" max="9741" width="11.5546875" style="364" customWidth="1"/>
    <col min="9742" max="9742" width="16.5546875" style="364" customWidth="1"/>
    <col min="9743" max="9985" width="9.109375" style="364"/>
    <col min="9986" max="9986" width="25.88671875" style="364" customWidth="1"/>
    <col min="9987" max="9987" width="13.88671875" style="364" customWidth="1"/>
    <col min="9988" max="9993" width="9.109375" style="364"/>
    <col min="9994" max="9994" width="13.88671875" style="364" bestFit="1" customWidth="1"/>
    <col min="9995" max="9996" width="11.6640625" style="364" bestFit="1" customWidth="1"/>
    <col min="9997" max="9997" width="11.5546875" style="364" customWidth="1"/>
    <col min="9998" max="9998" width="16.5546875" style="364" customWidth="1"/>
    <col min="9999" max="10241" width="9.109375" style="364"/>
    <col min="10242" max="10242" width="25.88671875" style="364" customWidth="1"/>
    <col min="10243" max="10243" width="13.88671875" style="364" customWidth="1"/>
    <col min="10244" max="10249" width="9.109375" style="364"/>
    <col min="10250" max="10250" width="13.88671875" style="364" bestFit="1" customWidth="1"/>
    <col min="10251" max="10252" width="11.6640625" style="364" bestFit="1" customWidth="1"/>
    <col min="10253" max="10253" width="11.5546875" style="364" customWidth="1"/>
    <col min="10254" max="10254" width="16.5546875" style="364" customWidth="1"/>
    <col min="10255" max="10497" width="9.109375" style="364"/>
    <col min="10498" max="10498" width="25.88671875" style="364" customWidth="1"/>
    <col min="10499" max="10499" width="13.88671875" style="364" customWidth="1"/>
    <col min="10500" max="10505" width="9.109375" style="364"/>
    <col min="10506" max="10506" width="13.88671875" style="364" bestFit="1" customWidth="1"/>
    <col min="10507" max="10508" width="11.6640625" style="364" bestFit="1" customWidth="1"/>
    <col min="10509" max="10509" width="11.5546875" style="364" customWidth="1"/>
    <col min="10510" max="10510" width="16.5546875" style="364" customWidth="1"/>
    <col min="10511" max="10753" width="9.109375" style="364"/>
    <col min="10754" max="10754" width="25.88671875" style="364" customWidth="1"/>
    <col min="10755" max="10755" width="13.88671875" style="364" customWidth="1"/>
    <col min="10756" max="10761" width="9.109375" style="364"/>
    <col min="10762" max="10762" width="13.88671875" style="364" bestFit="1" customWidth="1"/>
    <col min="10763" max="10764" width="11.6640625" style="364" bestFit="1" customWidth="1"/>
    <col min="10765" max="10765" width="11.5546875" style="364" customWidth="1"/>
    <col min="10766" max="10766" width="16.5546875" style="364" customWidth="1"/>
    <col min="10767" max="11009" width="9.109375" style="364"/>
    <col min="11010" max="11010" width="25.88671875" style="364" customWidth="1"/>
    <col min="11011" max="11011" width="13.88671875" style="364" customWidth="1"/>
    <col min="11012" max="11017" width="9.109375" style="364"/>
    <col min="11018" max="11018" width="13.88671875" style="364" bestFit="1" customWidth="1"/>
    <col min="11019" max="11020" width="11.6640625" style="364" bestFit="1" customWidth="1"/>
    <col min="11021" max="11021" width="11.5546875" style="364" customWidth="1"/>
    <col min="11022" max="11022" width="16.5546875" style="364" customWidth="1"/>
    <col min="11023" max="11265" width="9.109375" style="364"/>
    <col min="11266" max="11266" width="25.88671875" style="364" customWidth="1"/>
    <col min="11267" max="11267" width="13.88671875" style="364" customWidth="1"/>
    <col min="11268" max="11273" width="9.109375" style="364"/>
    <col min="11274" max="11274" width="13.88671875" style="364" bestFit="1" customWidth="1"/>
    <col min="11275" max="11276" width="11.6640625" style="364" bestFit="1" customWidth="1"/>
    <col min="11277" max="11277" width="11.5546875" style="364" customWidth="1"/>
    <col min="11278" max="11278" width="16.5546875" style="364" customWidth="1"/>
    <col min="11279" max="11521" width="9.109375" style="364"/>
    <col min="11522" max="11522" width="25.88671875" style="364" customWidth="1"/>
    <col min="11523" max="11523" width="13.88671875" style="364" customWidth="1"/>
    <col min="11524" max="11529" width="9.109375" style="364"/>
    <col min="11530" max="11530" width="13.88671875" style="364" bestFit="1" customWidth="1"/>
    <col min="11531" max="11532" width="11.6640625" style="364" bestFit="1" customWidth="1"/>
    <col min="11533" max="11533" width="11.5546875" style="364" customWidth="1"/>
    <col min="11534" max="11534" width="16.5546875" style="364" customWidth="1"/>
    <col min="11535" max="11777" width="9.109375" style="364"/>
    <col min="11778" max="11778" width="25.88671875" style="364" customWidth="1"/>
    <col min="11779" max="11779" width="13.88671875" style="364" customWidth="1"/>
    <col min="11780" max="11785" width="9.109375" style="364"/>
    <col min="11786" max="11786" width="13.88671875" style="364" bestFit="1" customWidth="1"/>
    <col min="11787" max="11788" width="11.6640625" style="364" bestFit="1" customWidth="1"/>
    <col min="11789" max="11789" width="11.5546875" style="364" customWidth="1"/>
    <col min="11790" max="11790" width="16.5546875" style="364" customWidth="1"/>
    <col min="11791" max="12033" width="9.109375" style="364"/>
    <col min="12034" max="12034" width="25.88671875" style="364" customWidth="1"/>
    <col min="12035" max="12035" width="13.88671875" style="364" customWidth="1"/>
    <col min="12036" max="12041" width="9.109375" style="364"/>
    <col min="12042" max="12042" width="13.88671875" style="364" bestFit="1" customWidth="1"/>
    <col min="12043" max="12044" width="11.6640625" style="364" bestFit="1" customWidth="1"/>
    <col min="12045" max="12045" width="11.5546875" style="364" customWidth="1"/>
    <col min="12046" max="12046" width="16.5546875" style="364" customWidth="1"/>
    <col min="12047" max="12289" width="9.109375" style="364"/>
    <col min="12290" max="12290" width="25.88671875" style="364" customWidth="1"/>
    <col min="12291" max="12291" width="13.88671875" style="364" customWidth="1"/>
    <col min="12292" max="12297" width="9.109375" style="364"/>
    <col min="12298" max="12298" width="13.88671875" style="364" bestFit="1" customWidth="1"/>
    <col min="12299" max="12300" width="11.6640625" style="364" bestFit="1" customWidth="1"/>
    <col min="12301" max="12301" width="11.5546875" style="364" customWidth="1"/>
    <col min="12302" max="12302" width="16.5546875" style="364" customWidth="1"/>
    <col min="12303" max="12545" width="9.109375" style="364"/>
    <col min="12546" max="12546" width="25.88671875" style="364" customWidth="1"/>
    <col min="12547" max="12547" width="13.88671875" style="364" customWidth="1"/>
    <col min="12548" max="12553" width="9.109375" style="364"/>
    <col min="12554" max="12554" width="13.88671875" style="364" bestFit="1" customWidth="1"/>
    <col min="12555" max="12556" width="11.6640625" style="364" bestFit="1" customWidth="1"/>
    <col min="12557" max="12557" width="11.5546875" style="364" customWidth="1"/>
    <col min="12558" max="12558" width="16.5546875" style="364" customWidth="1"/>
    <col min="12559" max="12801" width="9.109375" style="364"/>
    <col min="12802" max="12802" width="25.88671875" style="364" customWidth="1"/>
    <col min="12803" max="12803" width="13.88671875" style="364" customWidth="1"/>
    <col min="12804" max="12809" width="9.109375" style="364"/>
    <col min="12810" max="12810" width="13.88671875" style="364" bestFit="1" customWidth="1"/>
    <col min="12811" max="12812" width="11.6640625" style="364" bestFit="1" customWidth="1"/>
    <col min="12813" max="12813" width="11.5546875" style="364" customWidth="1"/>
    <col min="12814" max="12814" width="16.5546875" style="364" customWidth="1"/>
    <col min="12815" max="13057" width="9.109375" style="364"/>
    <col min="13058" max="13058" width="25.88671875" style="364" customWidth="1"/>
    <col min="13059" max="13059" width="13.88671875" style="364" customWidth="1"/>
    <col min="13060" max="13065" width="9.109375" style="364"/>
    <col min="13066" max="13066" width="13.88671875" style="364" bestFit="1" customWidth="1"/>
    <col min="13067" max="13068" width="11.6640625" style="364" bestFit="1" customWidth="1"/>
    <col min="13069" max="13069" width="11.5546875" style="364" customWidth="1"/>
    <col min="13070" max="13070" width="16.5546875" style="364" customWidth="1"/>
    <col min="13071" max="13313" width="9.109375" style="364"/>
    <col min="13314" max="13314" width="25.88671875" style="364" customWidth="1"/>
    <col min="13315" max="13315" width="13.88671875" style="364" customWidth="1"/>
    <col min="13316" max="13321" width="9.109375" style="364"/>
    <col min="13322" max="13322" width="13.88671875" style="364" bestFit="1" customWidth="1"/>
    <col min="13323" max="13324" width="11.6640625" style="364" bestFit="1" customWidth="1"/>
    <col min="13325" max="13325" width="11.5546875" style="364" customWidth="1"/>
    <col min="13326" max="13326" width="16.5546875" style="364" customWidth="1"/>
    <col min="13327" max="13569" width="9.109375" style="364"/>
    <col min="13570" max="13570" width="25.88671875" style="364" customWidth="1"/>
    <col min="13571" max="13571" width="13.88671875" style="364" customWidth="1"/>
    <col min="13572" max="13577" width="9.109375" style="364"/>
    <col min="13578" max="13578" width="13.88671875" style="364" bestFit="1" customWidth="1"/>
    <col min="13579" max="13580" width="11.6640625" style="364" bestFit="1" customWidth="1"/>
    <col min="13581" max="13581" width="11.5546875" style="364" customWidth="1"/>
    <col min="13582" max="13582" width="16.5546875" style="364" customWidth="1"/>
    <col min="13583" max="13825" width="9.109375" style="364"/>
    <col min="13826" max="13826" width="25.88671875" style="364" customWidth="1"/>
    <col min="13827" max="13827" width="13.88671875" style="364" customWidth="1"/>
    <col min="13828" max="13833" width="9.109375" style="364"/>
    <col min="13834" max="13834" width="13.88671875" style="364" bestFit="1" customWidth="1"/>
    <col min="13835" max="13836" width="11.6640625" style="364" bestFit="1" customWidth="1"/>
    <col min="13837" max="13837" width="11.5546875" style="364" customWidth="1"/>
    <col min="13838" max="13838" width="16.5546875" style="364" customWidth="1"/>
    <col min="13839" max="14081" width="9.109375" style="364"/>
    <col min="14082" max="14082" width="25.88671875" style="364" customWidth="1"/>
    <col min="14083" max="14083" width="13.88671875" style="364" customWidth="1"/>
    <col min="14084" max="14089" width="9.109375" style="364"/>
    <col min="14090" max="14090" width="13.88671875" style="364" bestFit="1" customWidth="1"/>
    <col min="14091" max="14092" width="11.6640625" style="364" bestFit="1" customWidth="1"/>
    <col min="14093" max="14093" width="11.5546875" style="364" customWidth="1"/>
    <col min="14094" max="14094" width="16.5546875" style="364" customWidth="1"/>
    <col min="14095" max="14337" width="9.109375" style="364"/>
    <col min="14338" max="14338" width="25.88671875" style="364" customWidth="1"/>
    <col min="14339" max="14339" width="13.88671875" style="364" customWidth="1"/>
    <col min="14340" max="14345" width="9.109375" style="364"/>
    <col min="14346" max="14346" width="13.88671875" style="364" bestFit="1" customWidth="1"/>
    <col min="14347" max="14348" width="11.6640625" style="364" bestFit="1" customWidth="1"/>
    <col min="14349" max="14349" width="11.5546875" style="364" customWidth="1"/>
    <col min="14350" max="14350" width="16.5546875" style="364" customWidth="1"/>
    <col min="14351" max="14593" width="9.109375" style="364"/>
    <col min="14594" max="14594" width="25.88671875" style="364" customWidth="1"/>
    <col min="14595" max="14595" width="13.88671875" style="364" customWidth="1"/>
    <col min="14596" max="14601" width="9.109375" style="364"/>
    <col min="14602" max="14602" width="13.88671875" style="364" bestFit="1" customWidth="1"/>
    <col min="14603" max="14604" width="11.6640625" style="364" bestFit="1" customWidth="1"/>
    <col min="14605" max="14605" width="11.5546875" style="364" customWidth="1"/>
    <col min="14606" max="14606" width="16.5546875" style="364" customWidth="1"/>
    <col min="14607" max="14849" width="9.109375" style="364"/>
    <col min="14850" max="14850" width="25.88671875" style="364" customWidth="1"/>
    <col min="14851" max="14851" width="13.88671875" style="364" customWidth="1"/>
    <col min="14852" max="14857" width="9.109375" style="364"/>
    <col min="14858" max="14858" width="13.88671875" style="364" bestFit="1" customWidth="1"/>
    <col min="14859" max="14860" width="11.6640625" style="364" bestFit="1" customWidth="1"/>
    <col min="14861" max="14861" width="11.5546875" style="364" customWidth="1"/>
    <col min="14862" max="14862" width="16.5546875" style="364" customWidth="1"/>
    <col min="14863" max="15105" width="9.109375" style="364"/>
    <col min="15106" max="15106" width="25.88671875" style="364" customWidth="1"/>
    <col min="15107" max="15107" width="13.88671875" style="364" customWidth="1"/>
    <col min="15108" max="15113" width="9.109375" style="364"/>
    <col min="15114" max="15114" width="13.88671875" style="364" bestFit="1" customWidth="1"/>
    <col min="15115" max="15116" width="11.6640625" style="364" bestFit="1" customWidth="1"/>
    <col min="15117" max="15117" width="11.5546875" style="364" customWidth="1"/>
    <col min="15118" max="15118" width="16.5546875" style="364" customWidth="1"/>
    <col min="15119" max="15361" width="9.109375" style="364"/>
    <col min="15362" max="15362" width="25.88671875" style="364" customWidth="1"/>
    <col min="15363" max="15363" width="13.88671875" style="364" customWidth="1"/>
    <col min="15364" max="15369" width="9.109375" style="364"/>
    <col min="15370" max="15370" width="13.88671875" style="364" bestFit="1" customWidth="1"/>
    <col min="15371" max="15372" width="11.6640625" style="364" bestFit="1" customWidth="1"/>
    <col min="15373" max="15373" width="11.5546875" style="364" customWidth="1"/>
    <col min="15374" max="15374" width="16.5546875" style="364" customWidth="1"/>
    <col min="15375" max="15617" width="9.109375" style="364"/>
    <col min="15618" max="15618" width="25.88671875" style="364" customWidth="1"/>
    <col min="15619" max="15619" width="13.88671875" style="364" customWidth="1"/>
    <col min="15620" max="15625" width="9.109375" style="364"/>
    <col min="15626" max="15626" width="13.88671875" style="364" bestFit="1" customWidth="1"/>
    <col min="15627" max="15628" width="11.6640625" style="364" bestFit="1" customWidth="1"/>
    <col min="15629" max="15629" width="11.5546875" style="364" customWidth="1"/>
    <col min="15630" max="15630" width="16.5546875" style="364" customWidth="1"/>
    <col min="15631" max="15873" width="9.109375" style="364"/>
    <col min="15874" max="15874" width="25.88671875" style="364" customWidth="1"/>
    <col min="15875" max="15875" width="13.88671875" style="364" customWidth="1"/>
    <col min="15876" max="15881" width="9.109375" style="364"/>
    <col min="15882" max="15882" width="13.88671875" style="364" bestFit="1" customWidth="1"/>
    <col min="15883" max="15884" width="11.6640625" style="364" bestFit="1" customWidth="1"/>
    <col min="15885" max="15885" width="11.5546875" style="364" customWidth="1"/>
    <col min="15886" max="15886" width="16.5546875" style="364" customWidth="1"/>
    <col min="15887" max="16129" width="9.109375" style="364"/>
    <col min="16130" max="16130" width="25.88671875" style="364" customWidth="1"/>
    <col min="16131" max="16131" width="13.88671875" style="364" customWidth="1"/>
    <col min="16132" max="16137" width="9.109375" style="364"/>
    <col min="16138" max="16138" width="13.88671875" style="364" bestFit="1" customWidth="1"/>
    <col min="16139" max="16140" width="11.6640625" style="364" bestFit="1" customWidth="1"/>
    <col min="16141" max="16141" width="11.5546875" style="364" customWidth="1"/>
    <col min="16142" max="16142" width="16.5546875" style="364" customWidth="1"/>
    <col min="16143" max="16384" width="9.109375" style="364"/>
  </cols>
  <sheetData>
    <row r="1" spans="1:14" ht="12.75" customHeight="1">
      <c r="A1" s="1546" t="s">
        <v>568</v>
      </c>
      <c r="B1" s="1525"/>
      <c r="C1" s="1525"/>
      <c r="D1" s="1525"/>
      <c r="E1" s="1525"/>
      <c r="F1" s="1525"/>
      <c r="G1" s="1525"/>
      <c r="H1" s="1526"/>
      <c r="I1" s="1527" t="s">
        <v>319</v>
      </c>
      <c r="J1" s="1528"/>
      <c r="K1" s="1528"/>
      <c r="L1" s="1528"/>
      <c r="M1" s="1528"/>
      <c r="N1" s="1531">
        <f>'F1  Cover'!A20</f>
        <v>3500</v>
      </c>
    </row>
    <row r="2" spans="1:14">
      <c r="A2" s="1547"/>
      <c r="B2" s="1534"/>
      <c r="C2" s="1534"/>
      <c r="D2" s="1534"/>
      <c r="E2" s="1534"/>
      <c r="F2" s="1534"/>
      <c r="G2" s="1534"/>
      <c r="H2" s="1534"/>
      <c r="I2" s="1529"/>
      <c r="J2" s="1530"/>
      <c r="K2" s="1530"/>
      <c r="L2" s="1530"/>
      <c r="M2" s="1530"/>
      <c r="N2" s="1532"/>
    </row>
    <row r="3" spans="1:14">
      <c r="A3" s="464" t="s">
        <v>444</v>
      </c>
      <c r="B3" s="463" t="str">
        <f>'F1 Forecast Consultant'!C3</f>
        <v>WESTERN</v>
      </c>
      <c r="I3" s="1535" t="s">
        <v>320</v>
      </c>
      <c r="J3" s="1536"/>
      <c r="K3" s="1518">
        <f>'F1  Cover'!K8</f>
        <v>1</v>
      </c>
      <c r="L3" s="1519"/>
      <c r="M3" s="1519"/>
      <c r="N3" s="1520"/>
    </row>
    <row r="4" spans="1:14" ht="13.8" thickBot="1">
      <c r="A4" s="1548"/>
      <c r="B4" s="1538"/>
      <c r="C4" s="1538"/>
      <c r="D4" s="1538"/>
      <c r="E4" s="1538"/>
      <c r="F4" s="1538"/>
      <c r="G4" s="1538"/>
      <c r="H4" s="1538"/>
      <c r="I4" s="1539" t="s">
        <v>321</v>
      </c>
      <c r="J4" s="1540"/>
      <c r="K4" s="1541" t="str">
        <f>'F1 Forecast Combined'!E3</f>
        <v>X.002-180-2024/1RF</v>
      </c>
      <c r="L4" s="1541"/>
      <c r="M4" s="1541"/>
      <c r="N4" s="1542"/>
    </row>
    <row r="5" spans="1:14" ht="13.8" thickBot="1">
      <c r="A5" s="442" t="s">
        <v>322</v>
      </c>
      <c r="B5" s="443"/>
      <c r="C5" s="443"/>
      <c r="D5" s="443"/>
      <c r="E5" s="443"/>
      <c r="F5" s="443"/>
      <c r="G5" s="443"/>
      <c r="H5" s="443"/>
      <c r="I5" s="443"/>
      <c r="J5" s="443"/>
      <c r="K5" s="443"/>
      <c r="L5" s="443"/>
      <c r="M5" s="443"/>
      <c r="N5" s="444"/>
    </row>
    <row r="6" spans="1:14" ht="40.200000000000003" thickBot="1">
      <c r="A6" s="445" t="s">
        <v>93</v>
      </c>
      <c r="B6" s="446" t="s">
        <v>0</v>
      </c>
      <c r="C6" s="447" t="s">
        <v>1</v>
      </c>
      <c r="D6" s="435" t="s">
        <v>323</v>
      </c>
      <c r="E6" s="436" t="s">
        <v>324</v>
      </c>
      <c r="F6" s="436" t="s">
        <v>325</v>
      </c>
      <c r="G6" s="436" t="s">
        <v>326</v>
      </c>
      <c r="H6" s="437" t="s">
        <v>327</v>
      </c>
      <c r="I6" s="435" t="s">
        <v>3</v>
      </c>
      <c r="J6" s="436" t="s">
        <v>328</v>
      </c>
      <c r="K6" s="436" t="s">
        <v>329</v>
      </c>
      <c r="L6" s="436" t="s">
        <v>330</v>
      </c>
      <c r="M6" s="436" t="s">
        <v>331</v>
      </c>
      <c r="N6" s="437" t="s">
        <v>332</v>
      </c>
    </row>
    <row r="7" spans="1:14" ht="31.5" customHeight="1">
      <c r="A7" s="366">
        <f>'RRM Pricing Schedule'!A54</f>
        <v>3500</v>
      </c>
      <c r="B7" s="367" t="str">
        <f>'RRM Pricing Schedule'!B54</f>
        <v>ADMINISTRATION &amp; MONITORING OF WORKS CONTRACT</v>
      </c>
      <c r="C7" s="379"/>
      <c r="D7" s="385"/>
      <c r="E7" s="368"/>
      <c r="F7" s="368"/>
      <c r="G7" s="368"/>
      <c r="H7" s="386"/>
      <c r="I7" s="449"/>
      <c r="J7" s="368"/>
      <c r="K7" s="368"/>
      <c r="L7" s="368"/>
      <c r="M7" s="368"/>
      <c r="N7" s="450"/>
    </row>
    <row r="8" spans="1:14" ht="31.5" customHeight="1">
      <c r="A8" s="451">
        <f>'RRM Pricing Schedule'!A55</f>
        <v>35.01</v>
      </c>
      <c r="B8" s="371" t="str">
        <f>'RRM Pricing Schedule'!B55</f>
        <v>Engineer and Head Office</v>
      </c>
      <c r="C8" s="380"/>
      <c r="D8" s="387"/>
      <c r="E8" s="372"/>
      <c r="F8" s="372"/>
      <c r="G8" s="372"/>
      <c r="H8" s="373"/>
      <c r="I8" s="452"/>
      <c r="J8" s="372"/>
      <c r="K8" s="372"/>
      <c r="L8" s="372"/>
      <c r="M8" s="372"/>
      <c r="N8" s="453"/>
    </row>
    <row r="9" spans="1:14" ht="31.5" customHeight="1">
      <c r="A9" s="516"/>
      <c r="B9" s="371" t="str">
        <f>'RRM Pricing Schedule'!B56</f>
        <v>(a) (i)  Cost to fulfil the duties of Engineer</v>
      </c>
      <c r="C9" s="380" t="str">
        <f>'RRM Pricing Schedule'!C56</f>
        <v>Month</v>
      </c>
      <c r="D9" s="387">
        <f>'RRM Pricing Schedule'!D56</f>
        <v>60</v>
      </c>
      <c r="E9" s="441">
        <f>D9</f>
        <v>60</v>
      </c>
      <c r="F9" s="585">
        <f>DATA!$AF$52</f>
        <v>0</v>
      </c>
      <c r="G9" s="441"/>
      <c r="H9" s="373">
        <f>F9+G9</f>
        <v>0</v>
      </c>
      <c r="I9" s="452">
        <f>'RRM Pricing Schedule'!E56</f>
        <v>0</v>
      </c>
      <c r="J9" s="372">
        <f>D9*I9</f>
        <v>0</v>
      </c>
      <c r="K9" s="372">
        <f>E9*I9</f>
        <v>0</v>
      </c>
      <c r="L9" s="372">
        <f>F9*I9</f>
        <v>0</v>
      </c>
      <c r="M9" s="372">
        <f>G9*I9</f>
        <v>0</v>
      </c>
      <c r="N9" s="373">
        <f>H9*I9</f>
        <v>0</v>
      </c>
    </row>
    <row r="10" spans="1:14" ht="31.5" customHeight="1">
      <c r="A10" s="516"/>
      <c r="B10" s="371" t="str">
        <f>'RRM Pricing Schedule'!B57</f>
        <v>(a) (ii)  Disbursements</v>
      </c>
      <c r="C10" s="380" t="str">
        <f>'RRM Pricing Schedule'!C57</f>
        <v>Month</v>
      </c>
      <c r="D10" s="387">
        <f>'RRM Pricing Schedule'!D57</f>
        <v>60</v>
      </c>
      <c r="E10" s="441">
        <f>D10</f>
        <v>60</v>
      </c>
      <c r="F10" s="585">
        <f>DATA!$BS$52</f>
        <v>0</v>
      </c>
      <c r="G10" s="441"/>
      <c r="H10" s="373">
        <f>F10+G10</f>
        <v>0</v>
      </c>
      <c r="I10" s="452">
        <f>'RRM Pricing Schedule'!E57</f>
        <v>0</v>
      </c>
      <c r="J10" s="372">
        <f>D10*I10</f>
        <v>0</v>
      </c>
      <c r="K10" s="372">
        <f>E10*I10</f>
        <v>0</v>
      </c>
      <c r="L10" s="372">
        <f>F10*I10</f>
        <v>0</v>
      </c>
      <c r="M10" s="372">
        <f>G10*I10</f>
        <v>0</v>
      </c>
      <c r="N10" s="373">
        <f>H10*I10</f>
        <v>0</v>
      </c>
    </row>
    <row r="11" spans="1:14" ht="31.5" customHeight="1">
      <c r="A11" s="516"/>
      <c r="B11" s="371" t="str">
        <f>'RRM Pricing Schedule'!B58</f>
        <v>(b)   Head Office overhead costs</v>
      </c>
      <c r="C11" s="380" t="str">
        <f>'RRM Pricing Schedule'!C58</f>
        <v>Month</v>
      </c>
      <c r="D11" s="387">
        <f>'RRM Pricing Schedule'!D58</f>
        <v>60</v>
      </c>
      <c r="E11" s="441">
        <f>D11</f>
        <v>60</v>
      </c>
      <c r="F11" s="585">
        <f>DATA!$AG$52</f>
        <v>0</v>
      </c>
      <c r="G11" s="441"/>
      <c r="H11" s="373">
        <f>F11+G11</f>
        <v>0</v>
      </c>
      <c r="I11" s="452">
        <f>'RRM Pricing Schedule'!E58</f>
        <v>0</v>
      </c>
      <c r="J11" s="372">
        <f>D11*I11</f>
        <v>0</v>
      </c>
      <c r="K11" s="372">
        <f>E11*I11</f>
        <v>0</v>
      </c>
      <c r="L11" s="372">
        <f>F11*I11</f>
        <v>0</v>
      </c>
      <c r="M11" s="372">
        <f>G11*I11</f>
        <v>0</v>
      </c>
      <c r="N11" s="373">
        <f>H11*I11</f>
        <v>0</v>
      </c>
    </row>
    <row r="12" spans="1:14" ht="31.5" customHeight="1">
      <c r="A12" s="451"/>
      <c r="B12" s="371" t="str">
        <f>'RRM Pricing Schedule'!B59</f>
        <v>(c)   Occupational Health and Safety obligations:</v>
      </c>
      <c r="C12" s="380"/>
      <c r="D12" s="387"/>
      <c r="E12" s="746"/>
      <c r="F12" s="372"/>
      <c r="G12" s="746"/>
      <c r="H12" s="373"/>
      <c r="I12" s="452"/>
      <c r="J12" s="372"/>
      <c r="K12" s="372"/>
      <c r="L12" s="372"/>
      <c r="M12" s="372"/>
      <c r="N12" s="373"/>
    </row>
    <row r="13" spans="1:14" ht="31.5" customHeight="1">
      <c r="A13" s="516"/>
      <c r="B13" s="371" t="str">
        <f>'RRM Pricing Schedule'!B60</f>
        <v xml:space="preserve">     (i)  Continuous compliance and monthly internal audits</v>
      </c>
      <c r="C13" s="380" t="str">
        <f>'RRM Pricing Schedule'!C60</f>
        <v>Month</v>
      </c>
      <c r="D13" s="387">
        <f>'RRM Pricing Schedule'!D60</f>
        <v>60</v>
      </c>
      <c r="E13" s="441">
        <f>D13</f>
        <v>60</v>
      </c>
      <c r="F13" s="585">
        <f>DATA!$AH$52</f>
        <v>0</v>
      </c>
      <c r="G13" s="441"/>
      <c r="H13" s="373">
        <f>F13+G13</f>
        <v>0</v>
      </c>
      <c r="I13" s="452">
        <f>'RRM Pricing Schedule'!E60</f>
        <v>0</v>
      </c>
      <c r="J13" s="372">
        <f>D13*I13</f>
        <v>0</v>
      </c>
      <c r="K13" s="372">
        <f>E13*I13</f>
        <v>0</v>
      </c>
      <c r="L13" s="372">
        <f>F13*I13</f>
        <v>0</v>
      </c>
      <c r="M13" s="372">
        <f>G13*I13</f>
        <v>0</v>
      </c>
      <c r="N13" s="373">
        <f>H13*I13</f>
        <v>0</v>
      </c>
    </row>
    <row r="14" spans="1:14" ht="31.5" customHeight="1">
      <c r="A14" s="451"/>
      <c r="B14" s="371" t="str">
        <f>'RRM Pricing Schedule'!B61</f>
        <v xml:space="preserve">      (ii) External audits</v>
      </c>
      <c r="C14" s="380" t="str">
        <f>'RRM Pricing Schedule'!C61</f>
        <v>Prov. Sum</v>
      </c>
      <c r="D14" s="387">
        <v>1</v>
      </c>
      <c r="E14" s="734">
        <f t="shared" ref="E14" si="0">D14</f>
        <v>1</v>
      </c>
      <c r="F14" s="585">
        <f>DATA!$AI$52</f>
        <v>0</v>
      </c>
      <c r="G14" s="584">
        <f>'Pg 4 P Sums'!K73-F14</f>
        <v>0</v>
      </c>
      <c r="H14" s="373">
        <f>IF((F14+G14)&gt;E14,"ERROR TOO MUCH",(F14+G14))</f>
        <v>0</v>
      </c>
      <c r="I14" s="452">
        <f>'RRM Pricing Schedule'!F61</f>
        <v>60000</v>
      </c>
      <c r="J14" s="372">
        <f>D14*I14</f>
        <v>60000</v>
      </c>
      <c r="K14" s="372">
        <f>E14*I14</f>
        <v>60000</v>
      </c>
      <c r="L14" s="372">
        <f>F14*I14</f>
        <v>0</v>
      </c>
      <c r="M14" s="372">
        <f>G14*I14</f>
        <v>0</v>
      </c>
      <c r="N14" s="373">
        <f>H14*I14</f>
        <v>0</v>
      </c>
    </row>
    <row r="15" spans="1:14" ht="31.5" customHeight="1">
      <c r="A15" s="451"/>
      <c r="B15" s="371" t="str">
        <f>'RRM Pricing Schedule'!B62</f>
        <v xml:space="preserve">      (iii) Handling costs i.r.o. sub-item 35.01(c)(ii)</v>
      </c>
      <c r="C15" s="380" t="str">
        <f>'RRM Pricing Schedule'!C62</f>
        <v>%</v>
      </c>
      <c r="D15" s="387">
        <f>'RRM Pricing Schedule'!D62</f>
        <v>60000</v>
      </c>
      <c r="E15" s="734">
        <f>K14</f>
        <v>60000</v>
      </c>
      <c r="F15" s="372">
        <f t="shared" ref="F15:G15" si="1">L14</f>
        <v>0</v>
      </c>
      <c r="G15" s="372">
        <f t="shared" si="1"/>
        <v>0</v>
      </c>
      <c r="H15" s="373">
        <f>F15+G15</f>
        <v>0</v>
      </c>
      <c r="I15" s="462">
        <f>'RRM Pricing Schedule'!E62</f>
        <v>0</v>
      </c>
      <c r="J15" s="372">
        <f>D15*I15</f>
        <v>0</v>
      </c>
      <c r="K15" s="372">
        <f>E15*I15</f>
        <v>0</v>
      </c>
      <c r="L15" s="372">
        <f>F15*I15</f>
        <v>0</v>
      </c>
      <c r="M15" s="372">
        <f>G15*I15</f>
        <v>0</v>
      </c>
      <c r="N15" s="373">
        <f>H15*I15</f>
        <v>0</v>
      </c>
    </row>
    <row r="16" spans="1:14" ht="31.5" customHeight="1">
      <c r="A16" s="451"/>
      <c r="B16" s="371" t="str">
        <f>'RRM Pricing Schedule'!B63</f>
        <v>(d)   Training of Assistant Contract Engineer:</v>
      </c>
      <c r="C16" s="380"/>
      <c r="D16" s="387"/>
      <c r="E16" s="746"/>
      <c r="F16" s="372"/>
      <c r="G16" s="746"/>
      <c r="H16" s="373"/>
      <c r="I16" s="452"/>
      <c r="J16" s="372"/>
      <c r="K16" s="372"/>
      <c r="L16" s="372"/>
      <c r="M16" s="372"/>
      <c r="N16" s="373"/>
    </row>
    <row r="17" spans="1:14" ht="31.5" customHeight="1">
      <c r="A17" s="451"/>
      <c r="B17" s="371" t="str">
        <f>'RRM Pricing Schedule'!B64</f>
        <v xml:space="preserve">     (i)  Training by Contract Engineer</v>
      </c>
      <c r="C17" s="380" t="str">
        <f>'RRM Pricing Schedule'!C64</f>
        <v>Prov. Sum</v>
      </c>
      <c r="D17" s="387">
        <v>1</v>
      </c>
      <c r="E17" s="734">
        <f t="shared" ref="E17" si="2">D17</f>
        <v>1</v>
      </c>
      <c r="F17" s="585">
        <f>DATA!$AJ$52</f>
        <v>0</v>
      </c>
      <c r="G17" s="584">
        <f>'Pg 4 P Sums'!K81-F17</f>
        <v>0</v>
      </c>
      <c r="H17" s="373">
        <f>IF((F17+G17)&gt;E17,"ERROR TOO MUCH",(F17+G17))</f>
        <v>0</v>
      </c>
      <c r="I17" s="452">
        <f>'RRM Pricing Schedule'!F64</f>
        <v>200000</v>
      </c>
      <c r="J17" s="372">
        <f>D17*I17</f>
        <v>200000</v>
      </c>
      <c r="K17" s="372">
        <f>E17*I17</f>
        <v>200000</v>
      </c>
      <c r="L17" s="372">
        <f>F17*I17</f>
        <v>0</v>
      </c>
      <c r="M17" s="372">
        <f>G17*I17</f>
        <v>0</v>
      </c>
      <c r="N17" s="373">
        <f>H17*I17</f>
        <v>0</v>
      </c>
    </row>
    <row r="18" spans="1:14" ht="56.4" customHeight="1">
      <c r="A18" s="516"/>
      <c r="B18" s="371" t="str">
        <f>'RRM Pricing Schedule'!B65</f>
        <v>(e)   Extra over items 35.01(a), (b) and (c)(i) for additional roads  (Note to compiler:  Make Quantity zero if additional roads are not known/required)</v>
      </c>
      <c r="C18" s="380" t="str">
        <f>'RRM Pricing Schedule'!C65</f>
        <v>Month</v>
      </c>
      <c r="D18" s="387">
        <f>'RRM Pricing Schedule'!D65</f>
        <v>60</v>
      </c>
      <c r="E18" s="441">
        <f>D18</f>
        <v>60</v>
      </c>
      <c r="F18" s="585">
        <f>DATA!$AM$52</f>
        <v>0</v>
      </c>
      <c r="G18" s="441"/>
      <c r="H18" s="373">
        <f>F18+G18</f>
        <v>0</v>
      </c>
      <c r="I18" s="452">
        <f>'RRM Pricing Schedule'!E65</f>
        <v>0</v>
      </c>
      <c r="J18" s="372">
        <f>D18*I18</f>
        <v>0</v>
      </c>
      <c r="K18" s="372">
        <f>E18*I18</f>
        <v>0</v>
      </c>
      <c r="L18" s="372">
        <f>F18*I18</f>
        <v>0</v>
      </c>
      <c r="M18" s="372">
        <f>G18*I18</f>
        <v>0</v>
      </c>
      <c r="N18" s="373">
        <f>H18*I18</f>
        <v>0</v>
      </c>
    </row>
    <row r="19" spans="1:14" ht="31.5" customHeight="1">
      <c r="A19" s="451">
        <f>'RRM Pricing Schedule'!A66</f>
        <v>35.020000000000003</v>
      </c>
      <c r="B19" s="371" t="str">
        <f>'RRM Pricing Schedule'!B66</f>
        <v>Establishment of Supervisory team on site</v>
      </c>
      <c r="C19" s="380"/>
      <c r="D19" s="387"/>
      <c r="E19" s="746"/>
      <c r="F19" s="372"/>
      <c r="G19" s="746"/>
      <c r="H19" s="373"/>
      <c r="I19" s="452"/>
      <c r="J19" s="372"/>
      <c r="K19" s="372"/>
      <c r="L19" s="372"/>
      <c r="M19" s="372"/>
      <c r="N19" s="373"/>
    </row>
    <row r="20" spans="1:14" ht="31.5" customHeight="1">
      <c r="A20" s="451"/>
      <c r="B20" s="371" t="str">
        <f>'RRM Pricing Schedule'!B67</f>
        <v>(a)   Relocation cost of individual site personnel</v>
      </c>
      <c r="C20" s="380" t="str">
        <f>'RRM Pricing Schedule'!C67</f>
        <v>Prime Cost</v>
      </c>
      <c r="D20" s="387">
        <v>1</v>
      </c>
      <c r="E20" s="734">
        <f t="shared" ref="E20" si="3">D20</f>
        <v>1</v>
      </c>
      <c r="F20" s="585">
        <f>DATA!$AN$52</f>
        <v>0</v>
      </c>
      <c r="G20" s="584">
        <f>'Pg 4 P Sums'!K106-F20</f>
        <v>0</v>
      </c>
      <c r="H20" s="373">
        <f>IF((F20+G20)&gt;E20,"ERROR TOO MUCH",(F20+G20))</f>
        <v>0</v>
      </c>
      <c r="I20" s="452">
        <f>'RRM Pricing Schedule'!F67</f>
        <v>100000</v>
      </c>
      <c r="J20" s="372">
        <f>D20*I20</f>
        <v>100000</v>
      </c>
      <c r="K20" s="372">
        <f>E20*I20</f>
        <v>100000</v>
      </c>
      <c r="L20" s="372">
        <f>F20*I20</f>
        <v>0</v>
      </c>
      <c r="M20" s="372">
        <f>G20*I20</f>
        <v>0</v>
      </c>
      <c r="N20" s="373">
        <f>H20*I20</f>
        <v>0</v>
      </c>
    </row>
    <row r="21" spans="1:14" ht="31.5" customHeight="1">
      <c r="A21" s="451"/>
      <c r="B21" s="371" t="str">
        <f>'RRM Pricing Schedule'!B68</f>
        <v>(b)   Handling cost i.r.o. sub-item 35.02(a)</v>
      </c>
      <c r="C21" s="380" t="str">
        <f>'RRM Pricing Schedule'!C68</f>
        <v>%</v>
      </c>
      <c r="D21" s="387">
        <f>'RRM Pricing Schedule'!D68</f>
        <v>100000</v>
      </c>
      <c r="E21" s="734">
        <f>K20</f>
        <v>100000</v>
      </c>
      <c r="F21" s="372">
        <f t="shared" ref="F21" si="4">L20</f>
        <v>0</v>
      </c>
      <c r="G21" s="372">
        <f t="shared" ref="G21" si="5">M20</f>
        <v>0</v>
      </c>
      <c r="H21" s="373">
        <f>F21+G21</f>
        <v>0</v>
      </c>
      <c r="I21" s="462">
        <f>'RRM Pricing Schedule'!E68</f>
        <v>0</v>
      </c>
      <c r="J21" s="372">
        <f>D21*I21</f>
        <v>0</v>
      </c>
      <c r="K21" s="372">
        <f>E21*I21</f>
        <v>0</v>
      </c>
      <c r="L21" s="372">
        <f>F21*I21</f>
        <v>0</v>
      </c>
      <c r="M21" s="372">
        <f>G21*I21</f>
        <v>0</v>
      </c>
      <c r="N21" s="373">
        <f>H21*I21</f>
        <v>0</v>
      </c>
    </row>
    <row r="22" spans="1:14" ht="31.5" customHeight="1">
      <c r="A22" s="516"/>
      <c r="B22" s="371" t="str">
        <f>'RRM Pricing Schedule'!B69</f>
        <v>(c)   Establishment of office equipment</v>
      </c>
      <c r="C22" s="380" t="str">
        <f>'RRM Pricing Schedule'!C69</f>
        <v>Lump Sum</v>
      </c>
      <c r="D22" s="387">
        <v>1</v>
      </c>
      <c r="E22" s="734">
        <f t="shared" ref="E22" si="6">D22</f>
        <v>1</v>
      </c>
      <c r="F22" s="585">
        <f>DATA!$AO$52</f>
        <v>0</v>
      </c>
      <c r="G22" s="441"/>
      <c r="H22" s="373">
        <f>IF((F22+G22)&gt;E22,"ERROR TOO MUCH",(F22+G22))</f>
        <v>0</v>
      </c>
      <c r="I22" s="452">
        <f>'RRM Pricing Schedule'!F69</f>
        <v>0</v>
      </c>
      <c r="J22" s="372">
        <f>D22*I22</f>
        <v>0</v>
      </c>
      <c r="K22" s="372">
        <f>E22*I22</f>
        <v>0</v>
      </c>
      <c r="L22" s="372">
        <f>F22*I22</f>
        <v>0</v>
      </c>
      <c r="M22" s="372">
        <f>G22*I22</f>
        <v>0</v>
      </c>
      <c r="N22" s="373">
        <f>H22*I22</f>
        <v>0</v>
      </c>
    </row>
    <row r="23" spans="1:14" ht="31.5" customHeight="1">
      <c r="A23" s="451">
        <f>'RRM Pricing Schedule'!A70</f>
        <v>35.03</v>
      </c>
      <c r="B23" s="371" t="str">
        <f>'RRM Pricing Schedule'!B70</f>
        <v>Provision of Supervisory Staff and Equipment</v>
      </c>
      <c r="C23" s="380"/>
      <c r="D23" s="387"/>
      <c r="E23" s="746"/>
      <c r="F23" s="372"/>
      <c r="G23" s="746"/>
      <c r="H23" s="373"/>
      <c r="I23" s="452"/>
      <c r="J23" s="372"/>
      <c r="K23" s="372"/>
      <c r="L23" s="372"/>
      <c r="M23" s="372"/>
      <c r="N23" s="373"/>
    </row>
    <row r="24" spans="1:14" ht="31.5" customHeight="1">
      <c r="A24" s="451"/>
      <c r="B24" s="371" t="str">
        <f>'RRM Pricing Schedule'!B71</f>
        <v>(a)   Site Supervision Staff</v>
      </c>
      <c r="C24" s="380" t="str">
        <f>'RRM Pricing Schedule'!C71</f>
        <v>Prov. Sum</v>
      </c>
      <c r="D24" s="387">
        <v>1</v>
      </c>
      <c r="E24" s="734">
        <f t="shared" ref="E24" si="7">D24</f>
        <v>1</v>
      </c>
      <c r="F24" s="585">
        <f>DATA!$AP$52</f>
        <v>0</v>
      </c>
      <c r="G24" s="584">
        <f>'Pg 4 P Sums'!K115-F24</f>
        <v>0</v>
      </c>
      <c r="H24" s="373">
        <f>IF((F24+G24)&gt;E24,"ERROR TOO MUCH",(F24+G24))</f>
        <v>0</v>
      </c>
      <c r="I24" s="452">
        <f>'RRM Pricing Schedule'!F71</f>
        <v>10000000</v>
      </c>
      <c r="J24" s="372">
        <f t="shared" ref="J24:J32" si="8">D24*I24</f>
        <v>10000000</v>
      </c>
      <c r="K24" s="372">
        <f t="shared" ref="K24:K32" si="9">E24*I24</f>
        <v>10000000</v>
      </c>
      <c r="L24" s="372">
        <f t="shared" ref="L24:L32" si="10">F24*I24</f>
        <v>0</v>
      </c>
      <c r="M24" s="372">
        <f t="shared" ref="M24:M32" si="11">G24*I24</f>
        <v>0</v>
      </c>
      <c r="N24" s="373">
        <f t="shared" ref="N24:N32" si="12">H24*I24</f>
        <v>0</v>
      </c>
    </row>
    <row r="25" spans="1:14" ht="31.5" customHeight="1">
      <c r="A25" s="451"/>
      <c r="B25" s="371" t="str">
        <f>'RRM Pricing Schedule'!B72</f>
        <v>(b)   Mark-up i.r.o. sub-item 35.03(a)</v>
      </c>
      <c r="C25" s="380" t="str">
        <f>'RRM Pricing Schedule'!C72</f>
        <v>%</v>
      </c>
      <c r="D25" s="387">
        <f>'RRM Pricing Schedule'!D72</f>
        <v>10000000</v>
      </c>
      <c r="E25" s="734">
        <f>K24</f>
        <v>10000000</v>
      </c>
      <c r="F25" s="372">
        <f t="shared" ref="F25" si="13">L24</f>
        <v>0</v>
      </c>
      <c r="G25" s="372">
        <f t="shared" ref="G25" si="14">M24</f>
        <v>0</v>
      </c>
      <c r="H25" s="373">
        <f>F25+G25</f>
        <v>0</v>
      </c>
      <c r="I25" s="462">
        <f>'RRM Pricing Schedule'!E72</f>
        <v>0</v>
      </c>
      <c r="J25" s="372">
        <f t="shared" si="8"/>
        <v>0</v>
      </c>
      <c r="K25" s="372">
        <f t="shared" si="9"/>
        <v>0</v>
      </c>
      <c r="L25" s="372">
        <f t="shared" si="10"/>
        <v>0</v>
      </c>
      <c r="M25" s="372">
        <f t="shared" si="11"/>
        <v>0</v>
      </c>
      <c r="N25" s="373">
        <f t="shared" si="12"/>
        <v>0</v>
      </c>
    </row>
    <row r="26" spans="1:14" ht="31.5" customHeight="1">
      <c r="A26" s="451"/>
      <c r="B26" s="371" t="str">
        <f>'RRM Pricing Schedule'!B73</f>
        <v>(c)   Project Liaison Officer</v>
      </c>
      <c r="C26" s="380" t="str">
        <f>'RRM Pricing Schedule'!C73</f>
        <v>Prov. Sum</v>
      </c>
      <c r="D26" s="387">
        <v>1</v>
      </c>
      <c r="E26" s="734">
        <f t="shared" ref="E26" si="15">D26</f>
        <v>1</v>
      </c>
      <c r="F26" s="585">
        <f>DATA!$AQ$52</f>
        <v>0</v>
      </c>
      <c r="G26" s="584">
        <f>'Pg 4 P Sums'!K123-F26</f>
        <v>0</v>
      </c>
      <c r="H26" s="373">
        <f>IF((F26+G26)&gt;E26,"ERROR TOO MUCH",(F26+G26))</f>
        <v>0</v>
      </c>
      <c r="I26" s="452">
        <f>'RRM Pricing Schedule'!F73</f>
        <v>1000000</v>
      </c>
      <c r="J26" s="372">
        <f t="shared" si="8"/>
        <v>1000000</v>
      </c>
      <c r="K26" s="372">
        <f t="shared" si="9"/>
        <v>1000000</v>
      </c>
      <c r="L26" s="372">
        <f t="shared" si="10"/>
        <v>0</v>
      </c>
      <c r="M26" s="372">
        <f t="shared" si="11"/>
        <v>0</v>
      </c>
      <c r="N26" s="373">
        <f t="shared" si="12"/>
        <v>0</v>
      </c>
    </row>
    <row r="27" spans="1:14" ht="31.5" customHeight="1">
      <c r="A27" s="451"/>
      <c r="B27" s="371" t="str">
        <f>'RRM Pricing Schedule'!B74</f>
        <v>(d)   Handling cost i.r.o. sub-item 35.03(c)</v>
      </c>
      <c r="C27" s="380" t="str">
        <f>'RRM Pricing Schedule'!C74</f>
        <v>%</v>
      </c>
      <c r="D27" s="387">
        <f>'RRM Pricing Schedule'!D74</f>
        <v>1000000</v>
      </c>
      <c r="E27" s="734">
        <f>K26</f>
        <v>1000000</v>
      </c>
      <c r="F27" s="372">
        <f t="shared" ref="F27" si="16">L26</f>
        <v>0</v>
      </c>
      <c r="G27" s="372">
        <f t="shared" ref="G27" si="17">M26</f>
        <v>0</v>
      </c>
      <c r="H27" s="373">
        <f>F27+G27</f>
        <v>0</v>
      </c>
      <c r="I27" s="462">
        <f>'RRM Pricing Schedule'!E74</f>
        <v>0</v>
      </c>
      <c r="J27" s="372">
        <f t="shared" si="8"/>
        <v>0</v>
      </c>
      <c r="K27" s="372">
        <f t="shared" si="9"/>
        <v>0</v>
      </c>
      <c r="L27" s="372">
        <f t="shared" si="10"/>
        <v>0</v>
      </c>
      <c r="M27" s="372">
        <f t="shared" si="11"/>
        <v>0</v>
      </c>
      <c r="N27" s="373">
        <f t="shared" si="12"/>
        <v>0</v>
      </c>
    </row>
    <row r="28" spans="1:14" ht="31.5" customHeight="1">
      <c r="A28" s="451"/>
      <c r="B28" s="371" t="str">
        <f>'RRM Pricing Schedule'!B75</f>
        <v>(e)   Accommodation</v>
      </c>
      <c r="C28" s="380" t="str">
        <f>'RRM Pricing Schedule'!C75</f>
        <v>Prov. Sum</v>
      </c>
      <c r="D28" s="387">
        <v>1</v>
      </c>
      <c r="E28" s="734">
        <f t="shared" ref="E28" si="18">D28</f>
        <v>1</v>
      </c>
      <c r="F28" s="585">
        <f>DATA!$AR$52</f>
        <v>0</v>
      </c>
      <c r="G28" s="584">
        <f>'Pg 4 P Sums'!K131-F28</f>
        <v>0</v>
      </c>
      <c r="H28" s="373">
        <f>IF((F28+G28)&gt;E28,"ERROR TOO MUCH",(F28+G28))</f>
        <v>0</v>
      </c>
      <c r="I28" s="452">
        <f>'RRM Pricing Schedule'!F75</f>
        <v>2000000</v>
      </c>
      <c r="J28" s="372">
        <f t="shared" si="8"/>
        <v>2000000</v>
      </c>
      <c r="K28" s="372">
        <f t="shared" si="9"/>
        <v>2000000</v>
      </c>
      <c r="L28" s="372">
        <f t="shared" si="10"/>
        <v>0</v>
      </c>
      <c r="M28" s="372">
        <f t="shared" si="11"/>
        <v>0</v>
      </c>
      <c r="N28" s="373">
        <f t="shared" si="12"/>
        <v>0</v>
      </c>
    </row>
    <row r="29" spans="1:14" ht="31.5" customHeight="1">
      <c r="A29" s="451"/>
      <c r="B29" s="371" t="str">
        <f>'RRM Pricing Schedule'!B76</f>
        <v>(f)    Mark-up i.r.o. sub-item 35.03(e)</v>
      </c>
      <c r="C29" s="380" t="str">
        <f>'RRM Pricing Schedule'!C76</f>
        <v>%</v>
      </c>
      <c r="D29" s="387">
        <f>'RRM Pricing Schedule'!D76</f>
        <v>2000000</v>
      </c>
      <c r="E29" s="734">
        <f>K28</f>
        <v>2000000</v>
      </c>
      <c r="F29" s="372">
        <f t="shared" ref="F29" si="19">L28</f>
        <v>0</v>
      </c>
      <c r="G29" s="372">
        <f t="shared" ref="G29" si="20">M28</f>
        <v>0</v>
      </c>
      <c r="H29" s="373">
        <f>F29+G29</f>
        <v>0</v>
      </c>
      <c r="I29" s="462">
        <f>'RRM Pricing Schedule'!E76</f>
        <v>0</v>
      </c>
      <c r="J29" s="372">
        <f t="shared" si="8"/>
        <v>0</v>
      </c>
      <c r="K29" s="372">
        <f t="shared" si="9"/>
        <v>0</v>
      </c>
      <c r="L29" s="372">
        <f t="shared" si="10"/>
        <v>0</v>
      </c>
      <c r="M29" s="372">
        <f t="shared" si="11"/>
        <v>0</v>
      </c>
      <c r="N29" s="373">
        <f t="shared" si="12"/>
        <v>0</v>
      </c>
    </row>
    <row r="30" spans="1:14" ht="31.5" customHeight="1">
      <c r="A30" s="516"/>
      <c r="B30" s="371" t="str">
        <f>'RRM Pricing Schedule'!B77</f>
        <v>(g)   Provision and monthly cost of office equipment</v>
      </c>
      <c r="C30" s="380" t="str">
        <f>'RRM Pricing Schedule'!C77</f>
        <v>Month</v>
      </c>
      <c r="D30" s="387">
        <f>'RRM Pricing Schedule'!D77</f>
        <v>60</v>
      </c>
      <c r="E30" s="441">
        <f>D30</f>
        <v>60</v>
      </c>
      <c r="F30" s="585">
        <f>DATA!$AS$52</f>
        <v>0</v>
      </c>
      <c r="G30" s="441"/>
      <c r="H30" s="373">
        <f>F30+G30</f>
        <v>0</v>
      </c>
      <c r="I30" s="452">
        <f>'RRM Pricing Schedule'!E77</f>
        <v>0</v>
      </c>
      <c r="J30" s="372">
        <f t="shared" si="8"/>
        <v>0</v>
      </c>
      <c r="K30" s="372">
        <f t="shared" si="9"/>
        <v>0</v>
      </c>
      <c r="L30" s="372">
        <f t="shared" si="10"/>
        <v>0</v>
      </c>
      <c r="M30" s="372">
        <f t="shared" si="11"/>
        <v>0</v>
      </c>
      <c r="N30" s="373">
        <f t="shared" si="12"/>
        <v>0</v>
      </c>
    </row>
    <row r="31" spans="1:14" ht="31.5" customHeight="1">
      <c r="A31" s="451"/>
      <c r="B31" s="371" t="str">
        <f>'RRM Pricing Schedule'!B78</f>
        <v>(h)   Trainee</v>
      </c>
      <c r="C31" s="380" t="str">
        <f>'RRM Pricing Schedule'!C78</f>
        <v>Prov. Sum</v>
      </c>
      <c r="D31" s="387">
        <v>1</v>
      </c>
      <c r="E31" s="734">
        <f t="shared" ref="E31" si="21">D31</f>
        <v>1</v>
      </c>
      <c r="F31" s="585">
        <f>DATA!$AT$52</f>
        <v>0</v>
      </c>
      <c r="G31" s="584">
        <f>'Pg 4 P Sums'!K139-F31</f>
        <v>0</v>
      </c>
      <c r="H31" s="373">
        <f>IF((F31+G31)&gt;E31,"ERROR TOO MUCH",(F31+G31))</f>
        <v>0</v>
      </c>
      <c r="I31" s="452">
        <f>'RRM Pricing Schedule'!F78</f>
        <v>480000</v>
      </c>
      <c r="J31" s="372">
        <f t="shared" si="8"/>
        <v>480000</v>
      </c>
      <c r="K31" s="372">
        <f t="shared" si="9"/>
        <v>480000</v>
      </c>
      <c r="L31" s="372">
        <f t="shared" si="10"/>
        <v>0</v>
      </c>
      <c r="M31" s="372">
        <f t="shared" si="11"/>
        <v>0</v>
      </c>
      <c r="N31" s="373">
        <f t="shared" si="12"/>
        <v>0</v>
      </c>
    </row>
    <row r="32" spans="1:14" ht="31.5" customHeight="1">
      <c r="A32" s="451"/>
      <c r="B32" s="371" t="str">
        <f>'RRM Pricing Schedule'!B79</f>
        <v>(i)    Handling cost i.r.o. sub-item 35.03(h)</v>
      </c>
      <c r="C32" s="380" t="str">
        <f>'RRM Pricing Schedule'!C79</f>
        <v>%</v>
      </c>
      <c r="D32" s="387">
        <f>'RRM Pricing Schedule'!D79</f>
        <v>480000</v>
      </c>
      <c r="E32" s="734">
        <f>K31</f>
        <v>480000</v>
      </c>
      <c r="F32" s="372">
        <f t="shared" ref="F32" si="22">L31</f>
        <v>0</v>
      </c>
      <c r="G32" s="372">
        <f t="shared" ref="G32" si="23">M31</f>
        <v>0</v>
      </c>
      <c r="H32" s="373">
        <f>F32+G32</f>
        <v>0</v>
      </c>
      <c r="I32" s="462">
        <f>'RRM Pricing Schedule'!E79</f>
        <v>0</v>
      </c>
      <c r="J32" s="372">
        <f t="shared" si="8"/>
        <v>0</v>
      </c>
      <c r="K32" s="372">
        <f t="shared" si="9"/>
        <v>0</v>
      </c>
      <c r="L32" s="372">
        <f t="shared" si="10"/>
        <v>0</v>
      </c>
      <c r="M32" s="372">
        <f t="shared" si="11"/>
        <v>0</v>
      </c>
      <c r="N32" s="373">
        <f t="shared" si="12"/>
        <v>0</v>
      </c>
    </row>
    <row r="33" spans="1:14" ht="31.5" customHeight="1">
      <c r="A33" s="451">
        <f>'RRM Pricing Schedule'!A80</f>
        <v>35.04</v>
      </c>
      <c r="B33" s="371" t="str">
        <f>'RRM Pricing Schedule'!B80</f>
        <v>Transport for site personnel and additional duties</v>
      </c>
      <c r="C33" s="380"/>
      <c r="D33" s="387"/>
      <c r="E33" s="746"/>
      <c r="F33" s="372"/>
      <c r="G33" s="746"/>
      <c r="H33" s="373"/>
      <c r="I33" s="452"/>
      <c r="J33" s="372"/>
      <c r="K33" s="372"/>
      <c r="L33" s="372"/>
      <c r="M33" s="372"/>
      <c r="N33" s="373"/>
    </row>
    <row r="34" spans="1:14" ht="31.5" customHeight="1">
      <c r="A34" s="451"/>
      <c r="B34" s="371" t="str">
        <f>'RRM Pricing Schedule'!B81</f>
        <v>(a)   Travelling to perform duties</v>
      </c>
      <c r="C34" s="380" t="str">
        <f>'RRM Pricing Schedule'!C81</f>
        <v>Prov. Sum</v>
      </c>
      <c r="D34" s="387">
        <v>1</v>
      </c>
      <c r="E34" s="734">
        <f t="shared" ref="E34" si="24">D34</f>
        <v>1</v>
      </c>
      <c r="F34" s="585">
        <f>DATA!$AU$52</f>
        <v>0</v>
      </c>
      <c r="G34" s="584">
        <f>'Pg 4 P Sums'!K148-F34</f>
        <v>0</v>
      </c>
      <c r="H34" s="373">
        <f>IF((F34+G34)&gt;E34,"ERROR TOO MUCH",(F34+G34))</f>
        <v>0</v>
      </c>
      <c r="I34" s="452">
        <f>'RRM Pricing Schedule'!F81</f>
        <v>3000000</v>
      </c>
      <c r="J34" s="372">
        <f>D34*I34</f>
        <v>3000000</v>
      </c>
      <c r="K34" s="372">
        <f>E34*I34</f>
        <v>3000000</v>
      </c>
      <c r="L34" s="372">
        <f>F34*I34</f>
        <v>0</v>
      </c>
      <c r="M34" s="372">
        <f>G34*I34</f>
        <v>0</v>
      </c>
      <c r="N34" s="373">
        <f>H34*I34</f>
        <v>0</v>
      </c>
    </row>
    <row r="35" spans="1:14" ht="31.5" customHeight="1">
      <c r="A35" s="451"/>
      <c r="B35" s="371" t="str">
        <f>'RRM Pricing Schedule'!B82</f>
        <v>(b)   Handling cost i.r.o. item 35.04(a)</v>
      </c>
      <c r="C35" s="380" t="str">
        <f>'RRM Pricing Schedule'!C82</f>
        <v>%</v>
      </c>
      <c r="D35" s="387">
        <f>'RRM Pricing Schedule'!D82</f>
        <v>3000000</v>
      </c>
      <c r="E35" s="734">
        <f>K34</f>
        <v>3000000</v>
      </c>
      <c r="F35" s="372">
        <f t="shared" ref="F35" si="25">L34</f>
        <v>0</v>
      </c>
      <c r="G35" s="372">
        <f t="shared" ref="G35" si="26">M34</f>
        <v>0</v>
      </c>
      <c r="H35" s="373">
        <f>F35+G35</f>
        <v>0</v>
      </c>
      <c r="I35" s="462">
        <f>'RRM Pricing Schedule'!E82</f>
        <v>0</v>
      </c>
      <c r="J35" s="372">
        <f>D35*I35</f>
        <v>0</v>
      </c>
      <c r="K35" s="372">
        <f>E35*I35</f>
        <v>0</v>
      </c>
      <c r="L35" s="372">
        <f>F35*I35</f>
        <v>0</v>
      </c>
      <c r="M35" s="372">
        <f>G35*I35</f>
        <v>0</v>
      </c>
      <c r="N35" s="373">
        <f>H35*I35</f>
        <v>0</v>
      </c>
    </row>
    <row r="36" spans="1:14" ht="31.5" customHeight="1">
      <c r="A36" s="451"/>
      <c r="B36" s="371" t="str">
        <f>'RRM Pricing Schedule'!B83</f>
        <v>(c)   Toll fees</v>
      </c>
      <c r="C36" s="380" t="str">
        <f>'RRM Pricing Schedule'!C83</f>
        <v>Prime Cost</v>
      </c>
      <c r="D36" s="387">
        <v>1</v>
      </c>
      <c r="E36" s="734">
        <f t="shared" ref="E36" si="27">D36</f>
        <v>1</v>
      </c>
      <c r="F36" s="585">
        <f>DATA!$AV$52</f>
        <v>0</v>
      </c>
      <c r="G36" s="584">
        <f>'Pg 4 P Sums'!K167-F36</f>
        <v>0</v>
      </c>
      <c r="H36" s="373">
        <f>IF((F36+G36)&gt;E36,"ERROR TOO MUCH",(F36+G36))</f>
        <v>0</v>
      </c>
      <c r="I36" s="452">
        <f>'RRM Pricing Schedule'!F83</f>
        <v>50000</v>
      </c>
      <c r="J36" s="372">
        <f>D36*I36</f>
        <v>50000</v>
      </c>
      <c r="K36" s="372">
        <f>E36*I36</f>
        <v>50000</v>
      </c>
      <c r="L36" s="372">
        <f>F36*I36</f>
        <v>0</v>
      </c>
      <c r="M36" s="372">
        <f>G36*I36</f>
        <v>0</v>
      </c>
      <c r="N36" s="373">
        <f>H36*I36</f>
        <v>0</v>
      </c>
    </row>
    <row r="37" spans="1:14" ht="39" customHeight="1">
      <c r="A37" s="451">
        <f>'RRM Pricing Schedule'!A84</f>
        <v>35.049999999999997</v>
      </c>
      <c r="B37" s="371" t="str">
        <f>'RRM Pricing Schedule'!B84</f>
        <v>Assistance at Clarification Meeting, Tender Period and Tender Evaluation of sub-contract packages</v>
      </c>
      <c r="C37" s="380"/>
      <c r="D37" s="387"/>
      <c r="E37" s="746"/>
      <c r="F37" s="372"/>
      <c r="G37" s="746"/>
      <c r="H37" s="373"/>
      <c r="I37" s="452"/>
      <c r="J37" s="372"/>
      <c r="K37" s="372"/>
      <c r="L37" s="372"/>
      <c r="M37" s="372"/>
      <c r="N37" s="373"/>
    </row>
    <row r="38" spans="1:14" ht="31.5" customHeight="1">
      <c r="A38" s="516"/>
      <c r="B38" s="371" t="str">
        <f>'RRM Pricing Schedule'!B85</f>
        <v>(a)   Service Provider’s cost</v>
      </c>
      <c r="C38" s="380" t="str">
        <f>'RRM Pricing Schedule'!C85</f>
        <v>Number</v>
      </c>
      <c r="D38" s="387">
        <f>'RRM Pricing Schedule'!D85</f>
        <v>5</v>
      </c>
      <c r="E38" s="441">
        <f>D38</f>
        <v>5</v>
      </c>
      <c r="F38" s="585">
        <f>DATA!$AW$52</f>
        <v>0</v>
      </c>
      <c r="G38" s="441"/>
      <c r="H38" s="373">
        <f>F38+G38</f>
        <v>0</v>
      </c>
      <c r="I38" s="452">
        <f>'RRM Pricing Schedule'!E85</f>
        <v>0</v>
      </c>
      <c r="J38" s="372">
        <f>D38*I38</f>
        <v>0</v>
      </c>
      <c r="K38" s="372">
        <f>E38*I38</f>
        <v>0</v>
      </c>
      <c r="L38" s="372">
        <f>F38*I38</f>
        <v>0</v>
      </c>
      <c r="M38" s="372">
        <f>G38*I38</f>
        <v>0</v>
      </c>
      <c r="N38" s="373">
        <f>H38*I38</f>
        <v>0</v>
      </c>
    </row>
    <row r="39" spans="1:14" ht="31.5" customHeight="1">
      <c r="A39" s="516"/>
      <c r="B39" s="371" t="str">
        <f>'RRM Pricing Schedule'!B86</f>
        <v>(b)   Tender Evaluation</v>
      </c>
      <c r="C39" s="380" t="str">
        <f>'RRM Pricing Schedule'!C86</f>
        <v>Number</v>
      </c>
      <c r="D39" s="387">
        <f>'RRM Pricing Schedule'!D86</f>
        <v>15</v>
      </c>
      <c r="E39" s="441">
        <f>D39</f>
        <v>15</v>
      </c>
      <c r="F39" s="585">
        <f>DATA!$AX$52</f>
        <v>0</v>
      </c>
      <c r="G39" s="441"/>
      <c r="H39" s="373">
        <f>F39+G39</f>
        <v>0</v>
      </c>
      <c r="I39" s="452">
        <f>'RRM Pricing Schedule'!E86</f>
        <v>0</v>
      </c>
      <c r="J39" s="372">
        <f>D39*I39</f>
        <v>0</v>
      </c>
      <c r="K39" s="372">
        <f>E39*I39</f>
        <v>0</v>
      </c>
      <c r="L39" s="372">
        <f>F39*I39</f>
        <v>0</v>
      </c>
      <c r="M39" s="372">
        <f>G39*I39</f>
        <v>0</v>
      </c>
      <c r="N39" s="373">
        <f>H39*I39</f>
        <v>0</v>
      </c>
    </row>
    <row r="40" spans="1:14" ht="31.5" customHeight="1">
      <c r="A40" s="516"/>
      <c r="B40" s="371" t="str">
        <f>'RRM Pricing Schedule'!B87</f>
        <v>(c)   Evaluation Report</v>
      </c>
      <c r="C40" s="380" t="str">
        <f>'RRM Pricing Schedule'!C87</f>
        <v>Number</v>
      </c>
      <c r="D40" s="387">
        <f>'RRM Pricing Schedule'!D87</f>
        <v>15</v>
      </c>
      <c r="E40" s="441">
        <f>D40</f>
        <v>15</v>
      </c>
      <c r="F40" s="585">
        <f>DATA!$AY$52</f>
        <v>0</v>
      </c>
      <c r="G40" s="441"/>
      <c r="H40" s="373">
        <f>F40+G40</f>
        <v>0</v>
      </c>
      <c r="I40" s="452">
        <f>'RRM Pricing Schedule'!E87</f>
        <v>0</v>
      </c>
      <c r="J40" s="372">
        <f>D40*I40</f>
        <v>0</v>
      </c>
      <c r="K40" s="372">
        <f>E40*I40</f>
        <v>0</v>
      </c>
      <c r="L40" s="372">
        <f>F40*I40</f>
        <v>0</v>
      </c>
      <c r="M40" s="372">
        <f>G40*I40</f>
        <v>0</v>
      </c>
      <c r="N40" s="373">
        <f>H40*I40</f>
        <v>0</v>
      </c>
    </row>
    <row r="41" spans="1:14" ht="31.5" customHeight="1">
      <c r="A41" s="516">
        <f>'RRM Pricing Schedule'!A88</f>
        <v>35.06</v>
      </c>
      <c r="B41" s="371" t="str">
        <f>'RRM Pricing Schedule'!B88</f>
        <v xml:space="preserve"> Reporting of structures safety inspections</v>
      </c>
      <c r="C41" s="380" t="str">
        <f>'RRM Pricing Schedule'!C88</f>
        <v>Number</v>
      </c>
      <c r="D41" s="387">
        <f>'RRM Pricing Schedule'!D88</f>
        <v>3</v>
      </c>
      <c r="E41" s="441">
        <f>D41</f>
        <v>3</v>
      </c>
      <c r="F41" s="585">
        <f>DATA!$AZ$52</f>
        <v>0</v>
      </c>
      <c r="G41" s="441"/>
      <c r="H41" s="373">
        <f>F41+G41</f>
        <v>0</v>
      </c>
      <c r="I41" s="452">
        <f>'RRM Pricing Schedule'!E88</f>
        <v>0</v>
      </c>
      <c r="J41" s="372">
        <f>D41*I41</f>
        <v>0</v>
      </c>
      <c r="K41" s="372">
        <f>E41*I41</f>
        <v>0</v>
      </c>
      <c r="L41" s="372">
        <f>F41*I41</f>
        <v>0</v>
      </c>
      <c r="M41" s="372">
        <f>G41*I41</f>
        <v>0</v>
      </c>
      <c r="N41" s="373">
        <f>H41*I41</f>
        <v>0</v>
      </c>
    </row>
    <row r="42" spans="1:14" ht="31.5" customHeight="1">
      <c r="A42" s="451">
        <f>'RRM Pricing Schedule'!A89</f>
        <v>35.07</v>
      </c>
      <c r="B42" s="371" t="str">
        <f>'RRM Pricing Schedule'!B89</f>
        <v>Routine Maintenance and Slope Management System</v>
      </c>
      <c r="C42" s="380"/>
      <c r="D42" s="387"/>
      <c r="E42" s="746"/>
      <c r="F42" s="372"/>
      <c r="G42" s="746"/>
      <c r="H42" s="373"/>
      <c r="I42" s="452"/>
      <c r="J42" s="372"/>
      <c r="K42" s="372"/>
      <c r="L42" s="372"/>
      <c r="M42" s="372"/>
      <c r="N42" s="373"/>
    </row>
    <row r="43" spans="1:14" ht="31.5" customHeight="1">
      <c r="A43" s="451"/>
      <c r="B43" s="371" t="str">
        <f>'RRM Pricing Schedule'!B90</f>
        <v>(a) Incident response</v>
      </c>
      <c r="C43" s="380"/>
      <c r="D43" s="387"/>
      <c r="E43" s="746"/>
      <c r="F43" s="372"/>
      <c r="G43" s="746"/>
      <c r="H43" s="373"/>
      <c r="I43" s="452"/>
      <c r="J43" s="372"/>
      <c r="K43" s="372"/>
      <c r="L43" s="372"/>
      <c r="M43" s="372"/>
      <c r="N43" s="373"/>
    </row>
    <row r="44" spans="1:14" ht="31.5" customHeight="1">
      <c r="A44" s="516"/>
      <c r="B44" s="371" t="str">
        <f>'RRM Pricing Schedule'!B91</f>
        <v xml:space="preserve">     (i) Level 1 incident</v>
      </c>
      <c r="C44" s="380" t="str">
        <f>'RRM Pricing Schedule'!C91</f>
        <v>Number</v>
      </c>
      <c r="D44" s="387">
        <f>'RRM Pricing Schedule'!D91</f>
        <v>5</v>
      </c>
      <c r="E44" s="441">
        <f t="shared" ref="E44:E51" si="28">D44</f>
        <v>5</v>
      </c>
      <c r="F44" s="585">
        <f>DATA!$BT$52</f>
        <v>0</v>
      </c>
      <c r="G44" s="441"/>
      <c r="H44" s="373">
        <f t="shared" ref="H44:H51" si="29">F44+G44</f>
        <v>0</v>
      </c>
      <c r="I44" s="452">
        <f>'RRM Pricing Schedule'!E91</f>
        <v>0</v>
      </c>
      <c r="J44" s="372">
        <f t="shared" ref="J44:J51" si="30">D44*I44</f>
        <v>0</v>
      </c>
      <c r="K44" s="372">
        <f t="shared" ref="K44:K51" si="31">E44*I44</f>
        <v>0</v>
      </c>
      <c r="L44" s="372">
        <f t="shared" ref="L44:L51" si="32">F44*I44</f>
        <v>0</v>
      </c>
      <c r="M44" s="372">
        <f t="shared" ref="M44:M51" si="33">G44*I44</f>
        <v>0</v>
      </c>
      <c r="N44" s="373">
        <f t="shared" ref="N44:N51" si="34">H44*I44</f>
        <v>0</v>
      </c>
    </row>
    <row r="45" spans="1:14" ht="31.5" customHeight="1">
      <c r="A45" s="516"/>
      <c r="B45" s="371" t="str">
        <f>'RRM Pricing Schedule'!B92</f>
        <v xml:space="preserve">     (ii) Level 2 incident</v>
      </c>
      <c r="C45" s="380" t="str">
        <f>'RRM Pricing Schedule'!C92</f>
        <v>Number</v>
      </c>
      <c r="D45" s="387">
        <f>'RRM Pricing Schedule'!D92</f>
        <v>5</v>
      </c>
      <c r="E45" s="441">
        <f t="shared" si="28"/>
        <v>5</v>
      </c>
      <c r="F45" s="585">
        <f>DATA!$BU$52</f>
        <v>0</v>
      </c>
      <c r="G45" s="441"/>
      <c r="H45" s="373">
        <f t="shared" si="29"/>
        <v>0</v>
      </c>
      <c r="I45" s="452">
        <f>'RRM Pricing Schedule'!E92</f>
        <v>0</v>
      </c>
      <c r="J45" s="372">
        <f t="shared" si="30"/>
        <v>0</v>
      </c>
      <c r="K45" s="372">
        <f t="shared" si="31"/>
        <v>0</v>
      </c>
      <c r="L45" s="372">
        <f t="shared" si="32"/>
        <v>0</v>
      </c>
      <c r="M45" s="372">
        <f t="shared" si="33"/>
        <v>0</v>
      </c>
      <c r="N45" s="373">
        <f t="shared" si="34"/>
        <v>0</v>
      </c>
    </row>
    <row r="46" spans="1:14" ht="31.5" customHeight="1">
      <c r="A46" s="516"/>
      <c r="B46" s="371" t="str">
        <f>'RRM Pricing Schedule'!B93</f>
        <v xml:space="preserve">     (iii) Level 3 incident</v>
      </c>
      <c r="C46" s="380" t="str">
        <f>'RRM Pricing Schedule'!C93</f>
        <v>Number</v>
      </c>
      <c r="D46" s="387">
        <f>'RRM Pricing Schedule'!D93</f>
        <v>5</v>
      </c>
      <c r="E46" s="441">
        <f t="shared" si="28"/>
        <v>5</v>
      </c>
      <c r="F46" s="585">
        <f>DATA!$BV$52</f>
        <v>0</v>
      </c>
      <c r="G46" s="441"/>
      <c r="H46" s="373">
        <f t="shared" si="29"/>
        <v>0</v>
      </c>
      <c r="I46" s="452">
        <f>'RRM Pricing Schedule'!E93</f>
        <v>0</v>
      </c>
      <c r="J46" s="372">
        <f t="shared" si="30"/>
        <v>0</v>
      </c>
      <c r="K46" s="372">
        <f t="shared" si="31"/>
        <v>0</v>
      </c>
      <c r="L46" s="372">
        <f t="shared" si="32"/>
        <v>0</v>
      </c>
      <c r="M46" s="372">
        <f t="shared" si="33"/>
        <v>0</v>
      </c>
      <c r="N46" s="373">
        <f t="shared" si="34"/>
        <v>0</v>
      </c>
    </row>
    <row r="47" spans="1:14" ht="31.5" customHeight="1">
      <c r="A47" s="516"/>
      <c r="B47" s="371" t="str">
        <f>'RRM Pricing Schedule'!B94</f>
        <v xml:space="preserve">     (iv) Level 4 incident</v>
      </c>
      <c r="C47" s="380" t="str">
        <f>'RRM Pricing Schedule'!C94</f>
        <v>Number</v>
      </c>
      <c r="D47" s="387">
        <f>'RRM Pricing Schedule'!D94</f>
        <v>5</v>
      </c>
      <c r="E47" s="441">
        <f t="shared" si="28"/>
        <v>5</v>
      </c>
      <c r="F47" s="585">
        <f>DATA!$BW$52</f>
        <v>0</v>
      </c>
      <c r="G47" s="441"/>
      <c r="H47" s="373">
        <f t="shared" si="29"/>
        <v>0</v>
      </c>
      <c r="I47" s="452">
        <f>'RRM Pricing Schedule'!E94</f>
        <v>0</v>
      </c>
      <c r="J47" s="372">
        <f t="shared" si="30"/>
        <v>0</v>
      </c>
      <c r="K47" s="372">
        <f t="shared" si="31"/>
        <v>0</v>
      </c>
      <c r="L47" s="372">
        <f t="shared" si="32"/>
        <v>0</v>
      </c>
      <c r="M47" s="372">
        <f t="shared" si="33"/>
        <v>0</v>
      </c>
      <c r="N47" s="373">
        <f t="shared" si="34"/>
        <v>0</v>
      </c>
    </row>
    <row r="48" spans="1:14" ht="31.5" customHeight="1">
      <c r="A48" s="516"/>
      <c r="B48" s="371" t="str">
        <f>'RRM Pricing Schedule'!B95</f>
        <v>(b) Post-rain or seismic event inspection</v>
      </c>
      <c r="C48" s="380" t="str">
        <f>'RRM Pricing Schedule'!C95</f>
        <v>Number</v>
      </c>
      <c r="D48" s="387">
        <f>'RRM Pricing Schedule'!D95</f>
        <v>20</v>
      </c>
      <c r="E48" s="441">
        <f t="shared" si="28"/>
        <v>20</v>
      </c>
      <c r="F48" s="585">
        <f>DATA!$BX$52</f>
        <v>0</v>
      </c>
      <c r="G48" s="441"/>
      <c r="H48" s="373">
        <f t="shared" si="29"/>
        <v>0</v>
      </c>
      <c r="I48" s="452">
        <f>'RRM Pricing Schedule'!E95</f>
        <v>0</v>
      </c>
      <c r="J48" s="372">
        <f t="shared" si="30"/>
        <v>0</v>
      </c>
      <c r="K48" s="372">
        <f t="shared" si="31"/>
        <v>0</v>
      </c>
      <c r="L48" s="372">
        <f t="shared" si="32"/>
        <v>0</v>
      </c>
      <c r="M48" s="372">
        <f t="shared" si="33"/>
        <v>0</v>
      </c>
      <c r="N48" s="373">
        <f t="shared" si="34"/>
        <v>0</v>
      </c>
    </row>
    <row r="49" spans="1:14" ht="31.5" customHeight="1">
      <c r="A49" s="516"/>
      <c r="B49" s="371" t="str">
        <f>'RRM Pricing Schedule'!B96</f>
        <v>(c) Routine Maintenance Inspections</v>
      </c>
      <c r="C49" s="380" t="str">
        <f>'RRM Pricing Schedule'!C96</f>
        <v>Number</v>
      </c>
      <c r="D49" s="387">
        <f>'RRM Pricing Schedule'!D96</f>
        <v>20</v>
      </c>
      <c r="E49" s="441">
        <f t="shared" si="28"/>
        <v>20</v>
      </c>
      <c r="F49" s="585">
        <f>DATA!$BY$52</f>
        <v>0</v>
      </c>
      <c r="G49" s="441"/>
      <c r="H49" s="373">
        <f t="shared" si="29"/>
        <v>0</v>
      </c>
      <c r="I49" s="452">
        <f>'RRM Pricing Schedule'!E96</f>
        <v>0</v>
      </c>
      <c r="J49" s="372">
        <f t="shared" si="30"/>
        <v>0</v>
      </c>
      <c r="K49" s="372">
        <f t="shared" si="31"/>
        <v>0</v>
      </c>
      <c r="L49" s="372">
        <f t="shared" si="32"/>
        <v>0</v>
      </c>
      <c r="M49" s="372">
        <f t="shared" si="33"/>
        <v>0</v>
      </c>
      <c r="N49" s="373">
        <f t="shared" si="34"/>
        <v>0</v>
      </c>
    </row>
    <row r="50" spans="1:14" ht="31.5" customHeight="1">
      <c r="A50" s="516"/>
      <c r="B50" s="371" t="str">
        <f>'RRM Pricing Schedule'!B97</f>
        <v>(d) Continuous monitoring</v>
      </c>
      <c r="C50" s="380" t="str">
        <f>'RRM Pricing Schedule'!C97</f>
        <v>Number</v>
      </c>
      <c r="D50" s="387">
        <f>'RRM Pricing Schedule'!D97</f>
        <v>60</v>
      </c>
      <c r="E50" s="441">
        <f t="shared" si="28"/>
        <v>60</v>
      </c>
      <c r="F50" s="585">
        <f>DATA!$BZ$52</f>
        <v>0</v>
      </c>
      <c r="G50" s="441"/>
      <c r="H50" s="373">
        <f t="shared" si="29"/>
        <v>0</v>
      </c>
      <c r="I50" s="452">
        <f>'RRM Pricing Schedule'!E97</f>
        <v>0</v>
      </c>
      <c r="J50" s="372">
        <f t="shared" si="30"/>
        <v>0</v>
      </c>
      <c r="K50" s="372">
        <f t="shared" si="31"/>
        <v>0</v>
      </c>
      <c r="L50" s="372">
        <f t="shared" si="32"/>
        <v>0</v>
      </c>
      <c r="M50" s="372">
        <f t="shared" si="33"/>
        <v>0</v>
      </c>
      <c r="N50" s="373">
        <f t="shared" si="34"/>
        <v>0</v>
      </c>
    </row>
    <row r="51" spans="1:14" ht="31.5" customHeight="1" thickBot="1">
      <c r="A51" s="516"/>
      <c r="B51" s="371" t="str">
        <f>'RRM Pricing Schedule'!B98</f>
        <v>(e) Reporting and record keeping costs</v>
      </c>
      <c r="C51" s="380" t="str">
        <f>'RRM Pricing Schedule'!C98</f>
        <v>Month</v>
      </c>
      <c r="D51" s="387">
        <f>'RRM Pricing Schedule'!D98</f>
        <v>60</v>
      </c>
      <c r="E51" s="441">
        <f t="shared" si="28"/>
        <v>60</v>
      </c>
      <c r="F51" s="585">
        <f>DATA!$CA$52</f>
        <v>0</v>
      </c>
      <c r="G51" s="441"/>
      <c r="H51" s="373">
        <f t="shared" si="29"/>
        <v>0</v>
      </c>
      <c r="I51" s="452">
        <f>'RRM Pricing Schedule'!E98</f>
        <v>0</v>
      </c>
      <c r="J51" s="372">
        <f t="shared" si="30"/>
        <v>0</v>
      </c>
      <c r="K51" s="372">
        <f t="shared" si="31"/>
        <v>0</v>
      </c>
      <c r="L51" s="372">
        <f t="shared" si="32"/>
        <v>0</v>
      </c>
      <c r="M51" s="372">
        <f t="shared" si="33"/>
        <v>0</v>
      </c>
      <c r="N51" s="373">
        <f t="shared" si="34"/>
        <v>0</v>
      </c>
    </row>
    <row r="52" spans="1:14" ht="31.5" customHeight="1" thickBot="1">
      <c r="A52" s="1521" t="s">
        <v>333</v>
      </c>
      <c r="B52" s="1522"/>
      <c r="C52" s="1523"/>
      <c r="D52" s="435"/>
      <c r="E52" s="436"/>
      <c r="F52" s="436"/>
      <c r="G52" s="436"/>
      <c r="H52" s="437"/>
      <c r="I52" s="435"/>
      <c r="J52" s="439">
        <f>SUM(J8:J51)</f>
        <v>16890000</v>
      </c>
      <c r="K52" s="439">
        <f>SUM(K8:K51)</f>
        <v>16890000</v>
      </c>
      <c r="L52" s="439">
        <f>SUM(L8:L51)</f>
        <v>0</v>
      </c>
      <c r="M52" s="439">
        <f>SUM(M8:M51)</f>
        <v>0</v>
      </c>
      <c r="N52" s="440">
        <f>SUM(N8:N51)</f>
        <v>0</v>
      </c>
    </row>
    <row r="55" spans="1:14" ht="30.9" customHeight="1">
      <c r="A55" s="545" t="s">
        <v>382</v>
      </c>
      <c r="B55" s="545"/>
      <c r="J55" s="455">
        <f>J9+J10+J11+J13+J18+J22+J30+J38+J39+J40+J41+J44+J45+J46+J47+J48+J49+J50+J51</f>
        <v>0</v>
      </c>
      <c r="K55" s="455">
        <f>K9+K10+K11+K13+K18+K22+K30+K38+K39+K40+K41+K44+K45+K46+K47+K48+K49+K50+K51</f>
        <v>0</v>
      </c>
      <c r="L55" s="455">
        <f>L9+L10+L11+L13+L18+L22+L30+L38+L39+L40+L41+L44+L45+L46+L47+L48+L49+L50+L51</f>
        <v>0</v>
      </c>
      <c r="M55" s="455">
        <f>M9+M10+M11+M13+M18+M22+M30+M38+M39+M40+M41+M44+M45+M46+M47+M48+M49+M50+M51</f>
        <v>0</v>
      </c>
      <c r="N55" s="455">
        <f>N9+N10+N11+N13+N18+N22+N30+N38+N39+N40+N41+N44+N45+N46+N47+N48+N49+N50+N51</f>
        <v>0</v>
      </c>
    </row>
    <row r="56" spans="1:14" ht="30.9" customHeight="1">
      <c r="A56" s="364" t="s">
        <v>384</v>
      </c>
      <c r="J56" s="455" t="e">
        <f>J14+J15+J17+#REF!+#REF!+J20+J21+J24+J25+J26+J27+J28+J29+J31+J32+J34+J35+J36</f>
        <v>#REF!</v>
      </c>
      <c r="K56" s="455" t="e">
        <f>K14+K15+K17+#REF!+#REF!+K20+K21+K24+K25+K26+K27+K28+K29+K31+K32+K34+K35+K36</f>
        <v>#REF!</v>
      </c>
      <c r="L56" s="455" t="e">
        <f>L14+L15+L17+#REF!+#REF!+L20+L21+L24+L25+L26+L27+L28+L29+L31+L32+L34+L35+L36</f>
        <v>#REF!</v>
      </c>
      <c r="M56" s="455" t="e">
        <f>M14+M15+M17+#REF!+#REF!+M20+M21+M24+M25+M26+M27+M28+M29+M31+M32+M34+M35+M36</f>
        <v>#REF!</v>
      </c>
      <c r="N56" s="455" t="e">
        <f>N14+N15+N17+#REF!+#REF!+N20+N21+N24+N25+N26+N27+N28+N29+N31+N32+N34+N35+N36</f>
        <v>#REF!</v>
      </c>
    </row>
    <row r="57" spans="1:14" ht="30.9" customHeight="1" thickBot="1">
      <c r="A57" s="364" t="s">
        <v>383</v>
      </c>
      <c r="J57" s="517" t="e">
        <f>SUM(J55:J56)</f>
        <v>#REF!</v>
      </c>
      <c r="K57" s="517" t="e">
        <f t="shared" ref="K57:N57" si="35">SUM(K55:K56)</f>
        <v>#REF!</v>
      </c>
      <c r="L57" s="517" t="e">
        <f t="shared" si="35"/>
        <v>#REF!</v>
      </c>
      <c r="M57" s="517" t="e">
        <f t="shared" si="35"/>
        <v>#REF!</v>
      </c>
      <c r="N57" s="517" t="e">
        <f t="shared" si="35"/>
        <v>#REF!</v>
      </c>
    </row>
    <row r="58" spans="1:14" ht="13.8" thickTop="1"/>
  </sheetData>
  <mergeCells count="10">
    <mergeCell ref="A52:C52"/>
    <mergeCell ref="A1:H1"/>
    <mergeCell ref="A2:H2"/>
    <mergeCell ref="N1:N2"/>
    <mergeCell ref="K3:N3"/>
    <mergeCell ref="A4:H4"/>
    <mergeCell ref="I4:J4"/>
    <mergeCell ref="K4:N4"/>
    <mergeCell ref="I3:J3"/>
    <mergeCell ref="I1:M2"/>
  </mergeCells>
  <conditionalFormatting sqref="H14:H15">
    <cfRule type="containsText" dxfId="25" priority="18" operator="containsText" text="ERROR">
      <formula>NOT(ISERROR(SEARCH("ERROR",H14)))</formula>
    </cfRule>
  </conditionalFormatting>
  <conditionalFormatting sqref="H22">
    <cfRule type="containsText" dxfId="24" priority="17" operator="containsText" text="ERROR">
      <formula>NOT(ISERROR(SEARCH("ERROR",H22)))</formula>
    </cfRule>
  </conditionalFormatting>
  <conditionalFormatting sqref="H21">
    <cfRule type="containsText" dxfId="23" priority="16" operator="containsText" text="ERROR">
      <formula>NOT(ISERROR(SEARCH("ERROR",H21)))</formula>
    </cfRule>
  </conditionalFormatting>
  <conditionalFormatting sqref="H25">
    <cfRule type="containsText" dxfId="22" priority="15" operator="containsText" text="ERROR">
      <formula>NOT(ISERROR(SEARCH("ERROR",H25)))</formula>
    </cfRule>
  </conditionalFormatting>
  <conditionalFormatting sqref="H27">
    <cfRule type="containsText" dxfId="21" priority="14" operator="containsText" text="ERROR">
      <formula>NOT(ISERROR(SEARCH("ERROR",H27)))</formula>
    </cfRule>
  </conditionalFormatting>
  <conditionalFormatting sqref="H29">
    <cfRule type="containsText" dxfId="20" priority="13" operator="containsText" text="ERROR">
      <formula>NOT(ISERROR(SEARCH("ERROR",H29)))</formula>
    </cfRule>
  </conditionalFormatting>
  <conditionalFormatting sqref="H32">
    <cfRule type="containsText" dxfId="19" priority="12" operator="containsText" text="ERROR">
      <formula>NOT(ISERROR(SEARCH("ERROR",H32)))</formula>
    </cfRule>
  </conditionalFormatting>
  <conditionalFormatting sqref="H35">
    <cfRule type="containsText" dxfId="18" priority="11" operator="containsText" text="ERROR">
      <formula>NOT(ISERROR(SEARCH("ERROR",H35)))</formula>
    </cfRule>
  </conditionalFormatting>
  <conditionalFormatting sqref="H17">
    <cfRule type="containsText" dxfId="17" priority="10" operator="containsText" text="ERROR">
      <formula>NOT(ISERROR(SEARCH("ERROR",H17)))</formula>
    </cfRule>
  </conditionalFormatting>
  <conditionalFormatting sqref="H20">
    <cfRule type="containsText" dxfId="16" priority="7" operator="containsText" text="ERROR">
      <formula>NOT(ISERROR(SEARCH("ERROR",H20)))</formula>
    </cfRule>
  </conditionalFormatting>
  <conditionalFormatting sqref="H24">
    <cfRule type="containsText" dxfId="15" priority="6" operator="containsText" text="ERROR">
      <formula>NOT(ISERROR(SEARCH("ERROR",H24)))</formula>
    </cfRule>
  </conditionalFormatting>
  <conditionalFormatting sqref="H26">
    <cfRule type="containsText" dxfId="14" priority="5" operator="containsText" text="ERROR">
      <formula>NOT(ISERROR(SEARCH("ERROR",H26)))</formula>
    </cfRule>
  </conditionalFormatting>
  <conditionalFormatting sqref="H28">
    <cfRule type="containsText" dxfId="13" priority="4" operator="containsText" text="ERROR">
      <formula>NOT(ISERROR(SEARCH("ERROR",H28)))</formula>
    </cfRule>
  </conditionalFormatting>
  <conditionalFormatting sqref="H31">
    <cfRule type="containsText" dxfId="12" priority="3" operator="containsText" text="ERROR">
      <formula>NOT(ISERROR(SEARCH("ERROR",H31)))</formula>
    </cfRule>
  </conditionalFormatting>
  <conditionalFormatting sqref="H34">
    <cfRule type="containsText" dxfId="11" priority="2" operator="containsText" text="ERROR">
      <formula>NOT(ISERROR(SEARCH("ERROR",H34)))</formula>
    </cfRule>
  </conditionalFormatting>
  <conditionalFormatting sqref="H36">
    <cfRule type="containsText" dxfId="10" priority="1" operator="containsText" text="ERROR">
      <formula>NOT(ISERROR(SEARCH("ERROR",H36)))</formula>
    </cfRule>
  </conditionalFormatting>
  <dataValidations count="1">
    <dataValidation type="decimal" operator="lessThanOrEqual" allowBlank="1" showInputMessage="1" showErrorMessage="1" sqref="H14:H15 H20:H22 H24:H29 H31:H32 H34:H36 H17" xr:uid="{00000000-0002-0000-1200-000000000000}">
      <formula1>1</formula1>
    </dataValidation>
  </dataValidations>
  <printOptions horizontalCentered="1"/>
  <pageMargins left="0.15748031496062992" right="0" top="0.51181102362204722" bottom="0" header="0.27559055118110237" footer="0.39370078740157483"/>
  <pageSetup paperSize="9" scale="73" fitToHeight="0" orientation="landscape" r:id="rId1"/>
  <headerFooter alignWithMargins="0">
    <oddHeader>&amp;L&amp;"Calibri"&amp;10&amp;K000000 Sensitivity - General&amp;1#_x000D_</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41">
    <tabColor rgb="FF0070C0"/>
    <pageSetUpPr fitToPage="1"/>
  </sheetPr>
  <dimension ref="A1:N39"/>
  <sheetViews>
    <sheetView topLeftCell="C23" zoomScaleNormal="100" workbookViewId="0">
      <selection sqref="A1:E1"/>
    </sheetView>
  </sheetViews>
  <sheetFormatPr defaultRowHeight="13.2"/>
  <cols>
    <col min="1" max="1" width="9.109375" style="364"/>
    <col min="2" max="2" width="36.88671875" style="364" customWidth="1"/>
    <col min="3" max="3" width="19.5546875" style="364" customWidth="1"/>
    <col min="4" max="8" width="11.6640625" style="364" customWidth="1"/>
    <col min="9" max="9" width="11.6640625" style="364" bestFit="1" customWidth="1"/>
    <col min="10" max="11" width="12.88671875" style="364" bestFit="1" customWidth="1"/>
    <col min="12" max="12" width="12.44140625" style="364" customWidth="1"/>
    <col min="13" max="13" width="11.33203125" style="364" bestFit="1" customWidth="1"/>
    <col min="14" max="14" width="11.6640625" style="364" bestFit="1" customWidth="1"/>
    <col min="15" max="257" width="9.109375" style="364"/>
    <col min="258" max="258" width="21.5546875" style="364" customWidth="1"/>
    <col min="259" max="259" width="9.109375" style="364"/>
    <col min="260" max="261" width="10.109375" style="364" bestFit="1" customWidth="1"/>
    <col min="262" max="262" width="9.109375" style="364"/>
    <col min="263" max="264" width="9.33203125" style="364" bestFit="1" customWidth="1"/>
    <col min="265" max="265" width="9.109375" style="364"/>
    <col min="266" max="267" width="11.6640625" style="364" bestFit="1" customWidth="1"/>
    <col min="268" max="270" width="10.109375" style="364" bestFit="1" customWidth="1"/>
    <col min="271" max="513" width="9.109375" style="364"/>
    <col min="514" max="514" width="21.5546875" style="364" customWidth="1"/>
    <col min="515" max="515" width="9.109375" style="364"/>
    <col min="516" max="517" width="10.109375" style="364" bestFit="1" customWidth="1"/>
    <col min="518" max="518" width="9.109375" style="364"/>
    <col min="519" max="520" width="9.33203125" style="364" bestFit="1" customWidth="1"/>
    <col min="521" max="521" width="9.109375" style="364"/>
    <col min="522" max="523" width="11.6640625" style="364" bestFit="1" customWidth="1"/>
    <col min="524" max="526" width="10.109375" style="364" bestFit="1" customWidth="1"/>
    <col min="527" max="769" width="9.109375" style="364"/>
    <col min="770" max="770" width="21.5546875" style="364" customWidth="1"/>
    <col min="771" max="771" width="9.109375" style="364"/>
    <col min="772" max="773" width="10.109375" style="364" bestFit="1" customWidth="1"/>
    <col min="774" max="774" width="9.109375" style="364"/>
    <col min="775" max="776" width="9.33203125" style="364" bestFit="1" customWidth="1"/>
    <col min="777" max="777" width="9.109375" style="364"/>
    <col min="778" max="779" width="11.6640625" style="364" bestFit="1" customWidth="1"/>
    <col min="780" max="782" width="10.109375" style="364" bestFit="1" customWidth="1"/>
    <col min="783" max="1025" width="9.109375" style="364"/>
    <col min="1026" max="1026" width="21.5546875" style="364" customWidth="1"/>
    <col min="1027" max="1027" width="9.109375" style="364"/>
    <col min="1028" max="1029" width="10.109375" style="364" bestFit="1" customWidth="1"/>
    <col min="1030" max="1030" width="9.109375" style="364"/>
    <col min="1031" max="1032" width="9.33203125" style="364" bestFit="1" customWidth="1"/>
    <col min="1033" max="1033" width="9.109375" style="364"/>
    <col min="1034" max="1035" width="11.6640625" style="364" bestFit="1" customWidth="1"/>
    <col min="1036" max="1038" width="10.109375" style="364" bestFit="1" customWidth="1"/>
    <col min="1039" max="1281" width="9.109375" style="364"/>
    <col min="1282" max="1282" width="21.5546875" style="364" customWidth="1"/>
    <col min="1283" max="1283" width="9.109375" style="364"/>
    <col min="1284" max="1285" width="10.109375" style="364" bestFit="1" customWidth="1"/>
    <col min="1286" max="1286" width="9.109375" style="364"/>
    <col min="1287" max="1288" width="9.33203125" style="364" bestFit="1" customWidth="1"/>
    <col min="1289" max="1289" width="9.109375" style="364"/>
    <col min="1290" max="1291" width="11.6640625" style="364" bestFit="1" customWidth="1"/>
    <col min="1292" max="1294" width="10.109375" style="364" bestFit="1" customWidth="1"/>
    <col min="1295" max="1537" width="9.109375" style="364"/>
    <col min="1538" max="1538" width="21.5546875" style="364" customWidth="1"/>
    <col min="1539" max="1539" width="9.109375" style="364"/>
    <col min="1540" max="1541" width="10.109375" style="364" bestFit="1" customWidth="1"/>
    <col min="1542" max="1542" width="9.109375" style="364"/>
    <col min="1543" max="1544" width="9.33203125" style="364" bestFit="1" customWidth="1"/>
    <col min="1545" max="1545" width="9.109375" style="364"/>
    <col min="1546" max="1547" width="11.6640625" style="364" bestFit="1" customWidth="1"/>
    <col min="1548" max="1550" width="10.109375" style="364" bestFit="1" customWidth="1"/>
    <col min="1551" max="1793" width="9.109375" style="364"/>
    <col min="1794" max="1794" width="21.5546875" style="364" customWidth="1"/>
    <col min="1795" max="1795" width="9.109375" style="364"/>
    <col min="1796" max="1797" width="10.109375" style="364" bestFit="1" customWidth="1"/>
    <col min="1798" max="1798" width="9.109375" style="364"/>
    <col min="1799" max="1800" width="9.33203125" style="364" bestFit="1" customWidth="1"/>
    <col min="1801" max="1801" width="9.109375" style="364"/>
    <col min="1802" max="1803" width="11.6640625" style="364" bestFit="1" customWidth="1"/>
    <col min="1804" max="1806" width="10.109375" style="364" bestFit="1" customWidth="1"/>
    <col min="1807" max="2049" width="9.109375" style="364"/>
    <col min="2050" max="2050" width="21.5546875" style="364" customWidth="1"/>
    <col min="2051" max="2051" width="9.109375" style="364"/>
    <col min="2052" max="2053" width="10.109375" style="364" bestFit="1" customWidth="1"/>
    <col min="2054" max="2054" width="9.109375" style="364"/>
    <col min="2055" max="2056" width="9.33203125" style="364" bestFit="1" customWidth="1"/>
    <col min="2057" max="2057" width="9.109375" style="364"/>
    <col min="2058" max="2059" width="11.6640625" style="364" bestFit="1" customWidth="1"/>
    <col min="2060" max="2062" width="10.109375" style="364" bestFit="1" customWidth="1"/>
    <col min="2063" max="2305" width="9.109375" style="364"/>
    <col min="2306" max="2306" width="21.5546875" style="364" customWidth="1"/>
    <col min="2307" max="2307" width="9.109375" style="364"/>
    <col min="2308" max="2309" width="10.109375" style="364" bestFit="1" customWidth="1"/>
    <col min="2310" max="2310" width="9.109375" style="364"/>
    <col min="2311" max="2312" width="9.33203125" style="364" bestFit="1" customWidth="1"/>
    <col min="2313" max="2313" width="9.109375" style="364"/>
    <col min="2314" max="2315" width="11.6640625" style="364" bestFit="1" customWidth="1"/>
    <col min="2316" max="2318" width="10.109375" style="364" bestFit="1" customWidth="1"/>
    <col min="2319" max="2561" width="9.109375" style="364"/>
    <col min="2562" max="2562" width="21.5546875" style="364" customWidth="1"/>
    <col min="2563" max="2563" width="9.109375" style="364"/>
    <col min="2564" max="2565" width="10.109375" style="364" bestFit="1" customWidth="1"/>
    <col min="2566" max="2566" width="9.109375" style="364"/>
    <col min="2567" max="2568" width="9.33203125" style="364" bestFit="1" customWidth="1"/>
    <col min="2569" max="2569" width="9.109375" style="364"/>
    <col min="2570" max="2571" width="11.6640625" style="364" bestFit="1" customWidth="1"/>
    <col min="2572" max="2574" width="10.109375" style="364" bestFit="1" customWidth="1"/>
    <col min="2575" max="2817" width="9.109375" style="364"/>
    <col min="2818" max="2818" width="21.5546875" style="364" customWidth="1"/>
    <col min="2819" max="2819" width="9.109375" style="364"/>
    <col min="2820" max="2821" width="10.109375" style="364" bestFit="1" customWidth="1"/>
    <col min="2822" max="2822" width="9.109375" style="364"/>
    <col min="2823" max="2824" width="9.33203125" style="364" bestFit="1" customWidth="1"/>
    <col min="2825" max="2825" width="9.109375" style="364"/>
    <col min="2826" max="2827" width="11.6640625" style="364" bestFit="1" customWidth="1"/>
    <col min="2828" max="2830" width="10.109375" style="364" bestFit="1" customWidth="1"/>
    <col min="2831" max="3073" width="9.109375" style="364"/>
    <col min="3074" max="3074" width="21.5546875" style="364" customWidth="1"/>
    <col min="3075" max="3075" width="9.109375" style="364"/>
    <col min="3076" max="3077" width="10.109375" style="364" bestFit="1" customWidth="1"/>
    <col min="3078" max="3078" width="9.109375" style="364"/>
    <col min="3079" max="3080" width="9.33203125" style="364" bestFit="1" customWidth="1"/>
    <col min="3081" max="3081" width="9.109375" style="364"/>
    <col min="3082" max="3083" width="11.6640625" style="364" bestFit="1" customWidth="1"/>
    <col min="3084" max="3086" width="10.109375" style="364" bestFit="1" customWidth="1"/>
    <col min="3087" max="3329" width="9.109375" style="364"/>
    <col min="3330" max="3330" width="21.5546875" style="364" customWidth="1"/>
    <col min="3331" max="3331" width="9.109375" style="364"/>
    <col min="3332" max="3333" width="10.109375" style="364" bestFit="1" customWidth="1"/>
    <col min="3334" max="3334" width="9.109375" style="364"/>
    <col min="3335" max="3336" width="9.33203125" style="364" bestFit="1" customWidth="1"/>
    <col min="3337" max="3337" width="9.109375" style="364"/>
    <col min="3338" max="3339" width="11.6640625" style="364" bestFit="1" customWidth="1"/>
    <col min="3340" max="3342" width="10.109375" style="364" bestFit="1" customWidth="1"/>
    <col min="3343" max="3585" width="9.109375" style="364"/>
    <col min="3586" max="3586" width="21.5546875" style="364" customWidth="1"/>
    <col min="3587" max="3587" width="9.109375" style="364"/>
    <col min="3588" max="3589" width="10.109375" style="364" bestFit="1" customWidth="1"/>
    <col min="3590" max="3590" width="9.109375" style="364"/>
    <col min="3591" max="3592" width="9.33203125" style="364" bestFit="1" customWidth="1"/>
    <col min="3593" max="3593" width="9.109375" style="364"/>
    <col min="3594" max="3595" width="11.6640625" style="364" bestFit="1" customWidth="1"/>
    <col min="3596" max="3598" width="10.109375" style="364" bestFit="1" customWidth="1"/>
    <col min="3599" max="3841" width="9.109375" style="364"/>
    <col min="3842" max="3842" width="21.5546875" style="364" customWidth="1"/>
    <col min="3843" max="3843" width="9.109375" style="364"/>
    <col min="3844" max="3845" width="10.109375" style="364" bestFit="1" customWidth="1"/>
    <col min="3846" max="3846" width="9.109375" style="364"/>
    <col min="3847" max="3848" width="9.33203125" style="364" bestFit="1" customWidth="1"/>
    <col min="3849" max="3849" width="9.109375" style="364"/>
    <col min="3850" max="3851" width="11.6640625" style="364" bestFit="1" customWidth="1"/>
    <col min="3852" max="3854" width="10.109375" style="364" bestFit="1" customWidth="1"/>
    <col min="3855" max="4097" width="9.109375" style="364"/>
    <col min="4098" max="4098" width="21.5546875" style="364" customWidth="1"/>
    <col min="4099" max="4099" width="9.109375" style="364"/>
    <col min="4100" max="4101" width="10.109375" style="364" bestFit="1" customWidth="1"/>
    <col min="4102" max="4102" width="9.109375" style="364"/>
    <col min="4103" max="4104" width="9.33203125" style="364" bestFit="1" customWidth="1"/>
    <col min="4105" max="4105" width="9.109375" style="364"/>
    <col min="4106" max="4107" width="11.6640625" style="364" bestFit="1" customWidth="1"/>
    <col min="4108" max="4110" width="10.109375" style="364" bestFit="1" customWidth="1"/>
    <col min="4111" max="4353" width="9.109375" style="364"/>
    <col min="4354" max="4354" width="21.5546875" style="364" customWidth="1"/>
    <col min="4355" max="4355" width="9.109375" style="364"/>
    <col min="4356" max="4357" width="10.109375" style="364" bestFit="1" customWidth="1"/>
    <col min="4358" max="4358" width="9.109375" style="364"/>
    <col min="4359" max="4360" width="9.33203125" style="364" bestFit="1" customWidth="1"/>
    <col min="4361" max="4361" width="9.109375" style="364"/>
    <col min="4362" max="4363" width="11.6640625" style="364" bestFit="1" customWidth="1"/>
    <col min="4364" max="4366" width="10.109375" style="364" bestFit="1" customWidth="1"/>
    <col min="4367" max="4609" width="9.109375" style="364"/>
    <col min="4610" max="4610" width="21.5546875" style="364" customWidth="1"/>
    <col min="4611" max="4611" width="9.109375" style="364"/>
    <col min="4612" max="4613" width="10.109375" style="364" bestFit="1" customWidth="1"/>
    <col min="4614" max="4614" width="9.109375" style="364"/>
    <col min="4615" max="4616" width="9.33203125" style="364" bestFit="1" customWidth="1"/>
    <col min="4617" max="4617" width="9.109375" style="364"/>
    <col min="4618" max="4619" width="11.6640625" style="364" bestFit="1" customWidth="1"/>
    <col min="4620" max="4622" width="10.109375" style="364" bestFit="1" customWidth="1"/>
    <col min="4623" max="4865" width="9.109375" style="364"/>
    <col min="4866" max="4866" width="21.5546875" style="364" customWidth="1"/>
    <col min="4867" max="4867" width="9.109375" style="364"/>
    <col min="4868" max="4869" width="10.109375" style="364" bestFit="1" customWidth="1"/>
    <col min="4870" max="4870" width="9.109375" style="364"/>
    <col min="4871" max="4872" width="9.33203125" style="364" bestFit="1" customWidth="1"/>
    <col min="4873" max="4873" width="9.109375" style="364"/>
    <col min="4874" max="4875" width="11.6640625" style="364" bestFit="1" customWidth="1"/>
    <col min="4876" max="4878" width="10.109375" style="364" bestFit="1" customWidth="1"/>
    <col min="4879" max="5121" width="9.109375" style="364"/>
    <col min="5122" max="5122" width="21.5546875" style="364" customWidth="1"/>
    <col min="5123" max="5123" width="9.109375" style="364"/>
    <col min="5124" max="5125" width="10.109375" style="364" bestFit="1" customWidth="1"/>
    <col min="5126" max="5126" width="9.109375" style="364"/>
    <col min="5127" max="5128" width="9.33203125" style="364" bestFit="1" customWidth="1"/>
    <col min="5129" max="5129" width="9.109375" style="364"/>
    <col min="5130" max="5131" width="11.6640625" style="364" bestFit="1" customWidth="1"/>
    <col min="5132" max="5134" width="10.109375" style="364" bestFit="1" customWidth="1"/>
    <col min="5135" max="5377" width="9.109375" style="364"/>
    <col min="5378" max="5378" width="21.5546875" style="364" customWidth="1"/>
    <col min="5379" max="5379" width="9.109375" style="364"/>
    <col min="5380" max="5381" width="10.109375" style="364" bestFit="1" customWidth="1"/>
    <col min="5382" max="5382" width="9.109375" style="364"/>
    <col min="5383" max="5384" width="9.33203125" style="364" bestFit="1" customWidth="1"/>
    <col min="5385" max="5385" width="9.109375" style="364"/>
    <col min="5386" max="5387" width="11.6640625" style="364" bestFit="1" customWidth="1"/>
    <col min="5388" max="5390" width="10.109375" style="364" bestFit="1" customWidth="1"/>
    <col min="5391" max="5633" width="9.109375" style="364"/>
    <col min="5634" max="5634" width="21.5546875" style="364" customWidth="1"/>
    <col min="5635" max="5635" width="9.109375" style="364"/>
    <col min="5636" max="5637" width="10.109375" style="364" bestFit="1" customWidth="1"/>
    <col min="5638" max="5638" width="9.109375" style="364"/>
    <col min="5639" max="5640" width="9.33203125" style="364" bestFit="1" customWidth="1"/>
    <col min="5641" max="5641" width="9.109375" style="364"/>
    <col min="5642" max="5643" width="11.6640625" style="364" bestFit="1" customWidth="1"/>
    <col min="5644" max="5646" width="10.109375" style="364" bestFit="1" customWidth="1"/>
    <col min="5647" max="5889" width="9.109375" style="364"/>
    <col min="5890" max="5890" width="21.5546875" style="364" customWidth="1"/>
    <col min="5891" max="5891" width="9.109375" style="364"/>
    <col min="5892" max="5893" width="10.109375" style="364" bestFit="1" customWidth="1"/>
    <col min="5894" max="5894" width="9.109375" style="364"/>
    <col min="5895" max="5896" width="9.33203125" style="364" bestFit="1" customWidth="1"/>
    <col min="5897" max="5897" width="9.109375" style="364"/>
    <col min="5898" max="5899" width="11.6640625" style="364" bestFit="1" customWidth="1"/>
    <col min="5900" max="5902" width="10.109375" style="364" bestFit="1" customWidth="1"/>
    <col min="5903" max="6145" width="9.109375" style="364"/>
    <col min="6146" max="6146" width="21.5546875" style="364" customWidth="1"/>
    <col min="6147" max="6147" width="9.109375" style="364"/>
    <col min="6148" max="6149" width="10.109375" style="364" bestFit="1" customWidth="1"/>
    <col min="6150" max="6150" width="9.109375" style="364"/>
    <col min="6151" max="6152" width="9.33203125" style="364" bestFit="1" customWidth="1"/>
    <col min="6153" max="6153" width="9.109375" style="364"/>
    <col min="6154" max="6155" width="11.6640625" style="364" bestFit="1" customWidth="1"/>
    <col min="6156" max="6158" width="10.109375" style="364" bestFit="1" customWidth="1"/>
    <col min="6159" max="6401" width="9.109375" style="364"/>
    <col min="6402" max="6402" width="21.5546875" style="364" customWidth="1"/>
    <col min="6403" max="6403" width="9.109375" style="364"/>
    <col min="6404" max="6405" width="10.109375" style="364" bestFit="1" customWidth="1"/>
    <col min="6406" max="6406" width="9.109375" style="364"/>
    <col min="6407" max="6408" width="9.33203125" style="364" bestFit="1" customWidth="1"/>
    <col min="6409" max="6409" width="9.109375" style="364"/>
    <col min="6410" max="6411" width="11.6640625" style="364" bestFit="1" customWidth="1"/>
    <col min="6412" max="6414" width="10.109375" style="364" bestFit="1" customWidth="1"/>
    <col min="6415" max="6657" width="9.109375" style="364"/>
    <col min="6658" max="6658" width="21.5546875" style="364" customWidth="1"/>
    <col min="6659" max="6659" width="9.109375" style="364"/>
    <col min="6660" max="6661" width="10.109375" style="364" bestFit="1" customWidth="1"/>
    <col min="6662" max="6662" width="9.109375" style="364"/>
    <col min="6663" max="6664" width="9.33203125" style="364" bestFit="1" customWidth="1"/>
    <col min="6665" max="6665" width="9.109375" style="364"/>
    <col min="6666" max="6667" width="11.6640625" style="364" bestFit="1" customWidth="1"/>
    <col min="6668" max="6670" width="10.109375" style="364" bestFit="1" customWidth="1"/>
    <col min="6671" max="6913" width="9.109375" style="364"/>
    <col min="6914" max="6914" width="21.5546875" style="364" customWidth="1"/>
    <col min="6915" max="6915" width="9.109375" style="364"/>
    <col min="6916" max="6917" width="10.109375" style="364" bestFit="1" customWidth="1"/>
    <col min="6918" max="6918" width="9.109375" style="364"/>
    <col min="6919" max="6920" width="9.33203125" style="364" bestFit="1" customWidth="1"/>
    <col min="6921" max="6921" width="9.109375" style="364"/>
    <col min="6922" max="6923" width="11.6640625" style="364" bestFit="1" customWidth="1"/>
    <col min="6924" max="6926" width="10.109375" style="364" bestFit="1" customWidth="1"/>
    <col min="6927" max="7169" width="9.109375" style="364"/>
    <col min="7170" max="7170" width="21.5546875" style="364" customWidth="1"/>
    <col min="7171" max="7171" width="9.109375" style="364"/>
    <col min="7172" max="7173" width="10.109375" style="364" bestFit="1" customWidth="1"/>
    <col min="7174" max="7174" width="9.109375" style="364"/>
    <col min="7175" max="7176" width="9.33203125" style="364" bestFit="1" customWidth="1"/>
    <col min="7177" max="7177" width="9.109375" style="364"/>
    <col min="7178" max="7179" width="11.6640625" style="364" bestFit="1" customWidth="1"/>
    <col min="7180" max="7182" width="10.109375" style="364" bestFit="1" customWidth="1"/>
    <col min="7183" max="7425" width="9.109375" style="364"/>
    <col min="7426" max="7426" width="21.5546875" style="364" customWidth="1"/>
    <col min="7427" max="7427" width="9.109375" style="364"/>
    <col min="7428" max="7429" width="10.109375" style="364" bestFit="1" customWidth="1"/>
    <col min="7430" max="7430" width="9.109375" style="364"/>
    <col min="7431" max="7432" width="9.33203125" style="364" bestFit="1" customWidth="1"/>
    <col min="7433" max="7433" width="9.109375" style="364"/>
    <col min="7434" max="7435" width="11.6640625" style="364" bestFit="1" customWidth="1"/>
    <col min="7436" max="7438" width="10.109375" style="364" bestFit="1" customWidth="1"/>
    <col min="7439" max="7681" width="9.109375" style="364"/>
    <col min="7682" max="7682" width="21.5546875" style="364" customWidth="1"/>
    <col min="7683" max="7683" width="9.109375" style="364"/>
    <col min="7684" max="7685" width="10.109375" style="364" bestFit="1" customWidth="1"/>
    <col min="7686" max="7686" width="9.109375" style="364"/>
    <col min="7687" max="7688" width="9.33203125" style="364" bestFit="1" customWidth="1"/>
    <col min="7689" max="7689" width="9.109375" style="364"/>
    <col min="7690" max="7691" width="11.6640625" style="364" bestFit="1" customWidth="1"/>
    <col min="7692" max="7694" width="10.109375" style="364" bestFit="1" customWidth="1"/>
    <col min="7695" max="7937" width="9.109375" style="364"/>
    <col min="7938" max="7938" width="21.5546875" style="364" customWidth="1"/>
    <col min="7939" max="7939" width="9.109375" style="364"/>
    <col min="7940" max="7941" width="10.109375" style="364" bestFit="1" customWidth="1"/>
    <col min="7942" max="7942" width="9.109375" style="364"/>
    <col min="7943" max="7944" width="9.33203125" style="364" bestFit="1" customWidth="1"/>
    <col min="7945" max="7945" width="9.109375" style="364"/>
    <col min="7946" max="7947" width="11.6640625" style="364" bestFit="1" customWidth="1"/>
    <col min="7948" max="7950" width="10.109375" style="364" bestFit="1" customWidth="1"/>
    <col min="7951" max="8193" width="9.109375" style="364"/>
    <col min="8194" max="8194" width="21.5546875" style="364" customWidth="1"/>
    <col min="8195" max="8195" width="9.109375" style="364"/>
    <col min="8196" max="8197" width="10.109375" style="364" bestFit="1" customWidth="1"/>
    <col min="8198" max="8198" width="9.109375" style="364"/>
    <col min="8199" max="8200" width="9.33203125" style="364" bestFit="1" customWidth="1"/>
    <col min="8201" max="8201" width="9.109375" style="364"/>
    <col min="8202" max="8203" width="11.6640625" style="364" bestFit="1" customWidth="1"/>
    <col min="8204" max="8206" width="10.109375" style="364" bestFit="1" customWidth="1"/>
    <col min="8207" max="8449" width="9.109375" style="364"/>
    <col min="8450" max="8450" width="21.5546875" style="364" customWidth="1"/>
    <col min="8451" max="8451" width="9.109375" style="364"/>
    <col min="8452" max="8453" width="10.109375" style="364" bestFit="1" customWidth="1"/>
    <col min="8454" max="8454" width="9.109375" style="364"/>
    <col min="8455" max="8456" width="9.33203125" style="364" bestFit="1" customWidth="1"/>
    <col min="8457" max="8457" width="9.109375" style="364"/>
    <col min="8458" max="8459" width="11.6640625" style="364" bestFit="1" customWidth="1"/>
    <col min="8460" max="8462" width="10.109375" style="364" bestFit="1" customWidth="1"/>
    <col min="8463" max="8705" width="9.109375" style="364"/>
    <col min="8706" max="8706" width="21.5546875" style="364" customWidth="1"/>
    <col min="8707" max="8707" width="9.109375" style="364"/>
    <col min="8708" max="8709" width="10.109375" style="364" bestFit="1" customWidth="1"/>
    <col min="8710" max="8710" width="9.109375" style="364"/>
    <col min="8711" max="8712" width="9.33203125" style="364" bestFit="1" customWidth="1"/>
    <col min="8713" max="8713" width="9.109375" style="364"/>
    <col min="8714" max="8715" width="11.6640625" style="364" bestFit="1" customWidth="1"/>
    <col min="8716" max="8718" width="10.109375" style="364" bestFit="1" customWidth="1"/>
    <col min="8719" max="8961" width="9.109375" style="364"/>
    <col min="8962" max="8962" width="21.5546875" style="364" customWidth="1"/>
    <col min="8963" max="8963" width="9.109375" style="364"/>
    <col min="8964" max="8965" width="10.109375" style="364" bestFit="1" customWidth="1"/>
    <col min="8966" max="8966" width="9.109375" style="364"/>
    <col min="8967" max="8968" width="9.33203125" style="364" bestFit="1" customWidth="1"/>
    <col min="8969" max="8969" width="9.109375" style="364"/>
    <col min="8970" max="8971" width="11.6640625" style="364" bestFit="1" customWidth="1"/>
    <col min="8972" max="8974" width="10.109375" style="364" bestFit="1" customWidth="1"/>
    <col min="8975" max="9217" width="9.109375" style="364"/>
    <col min="9218" max="9218" width="21.5546875" style="364" customWidth="1"/>
    <col min="9219" max="9219" width="9.109375" style="364"/>
    <col min="9220" max="9221" width="10.109375" style="364" bestFit="1" customWidth="1"/>
    <col min="9222" max="9222" width="9.109375" style="364"/>
    <col min="9223" max="9224" width="9.33203125" style="364" bestFit="1" customWidth="1"/>
    <col min="9225" max="9225" width="9.109375" style="364"/>
    <col min="9226" max="9227" width="11.6640625" style="364" bestFit="1" customWidth="1"/>
    <col min="9228" max="9230" width="10.109375" style="364" bestFit="1" customWidth="1"/>
    <col min="9231" max="9473" width="9.109375" style="364"/>
    <col min="9474" max="9474" width="21.5546875" style="364" customWidth="1"/>
    <col min="9475" max="9475" width="9.109375" style="364"/>
    <col min="9476" max="9477" width="10.109375" style="364" bestFit="1" customWidth="1"/>
    <col min="9478" max="9478" width="9.109375" style="364"/>
    <col min="9479" max="9480" width="9.33203125" style="364" bestFit="1" customWidth="1"/>
    <col min="9481" max="9481" width="9.109375" style="364"/>
    <col min="9482" max="9483" width="11.6640625" style="364" bestFit="1" customWidth="1"/>
    <col min="9484" max="9486" width="10.109375" style="364" bestFit="1" customWidth="1"/>
    <col min="9487" max="9729" width="9.109375" style="364"/>
    <col min="9730" max="9730" width="21.5546875" style="364" customWidth="1"/>
    <col min="9731" max="9731" width="9.109375" style="364"/>
    <col min="9732" max="9733" width="10.109375" style="364" bestFit="1" customWidth="1"/>
    <col min="9734" max="9734" width="9.109375" style="364"/>
    <col min="9735" max="9736" width="9.33203125" style="364" bestFit="1" customWidth="1"/>
    <col min="9737" max="9737" width="9.109375" style="364"/>
    <col min="9738" max="9739" width="11.6640625" style="364" bestFit="1" customWidth="1"/>
    <col min="9740" max="9742" width="10.109375" style="364" bestFit="1" customWidth="1"/>
    <col min="9743" max="9985" width="9.109375" style="364"/>
    <col min="9986" max="9986" width="21.5546875" style="364" customWidth="1"/>
    <col min="9987" max="9987" width="9.109375" style="364"/>
    <col min="9988" max="9989" width="10.109375" style="364" bestFit="1" customWidth="1"/>
    <col min="9990" max="9990" width="9.109375" style="364"/>
    <col min="9991" max="9992" width="9.33203125" style="364" bestFit="1" customWidth="1"/>
    <col min="9993" max="9993" width="9.109375" style="364"/>
    <col min="9994" max="9995" width="11.6640625" style="364" bestFit="1" customWidth="1"/>
    <col min="9996" max="9998" width="10.109375" style="364" bestFit="1" customWidth="1"/>
    <col min="9999" max="10241" width="9.109375" style="364"/>
    <col min="10242" max="10242" width="21.5546875" style="364" customWidth="1"/>
    <col min="10243" max="10243" width="9.109375" style="364"/>
    <col min="10244" max="10245" width="10.109375" style="364" bestFit="1" customWidth="1"/>
    <col min="10246" max="10246" width="9.109375" style="364"/>
    <col min="10247" max="10248" width="9.33203125" style="364" bestFit="1" customWidth="1"/>
    <col min="10249" max="10249" width="9.109375" style="364"/>
    <col min="10250" max="10251" width="11.6640625" style="364" bestFit="1" customWidth="1"/>
    <col min="10252" max="10254" width="10.109375" style="364" bestFit="1" customWidth="1"/>
    <col min="10255" max="10497" width="9.109375" style="364"/>
    <col min="10498" max="10498" width="21.5546875" style="364" customWidth="1"/>
    <col min="10499" max="10499" width="9.109375" style="364"/>
    <col min="10500" max="10501" width="10.109375" style="364" bestFit="1" customWidth="1"/>
    <col min="10502" max="10502" width="9.109375" style="364"/>
    <col min="10503" max="10504" width="9.33203125" style="364" bestFit="1" customWidth="1"/>
    <col min="10505" max="10505" width="9.109375" style="364"/>
    <col min="10506" max="10507" width="11.6640625" style="364" bestFit="1" customWidth="1"/>
    <col min="10508" max="10510" width="10.109375" style="364" bestFit="1" customWidth="1"/>
    <col min="10511" max="10753" width="9.109375" style="364"/>
    <col min="10754" max="10754" width="21.5546875" style="364" customWidth="1"/>
    <col min="10755" max="10755" width="9.109375" style="364"/>
    <col min="10756" max="10757" width="10.109375" style="364" bestFit="1" customWidth="1"/>
    <col min="10758" max="10758" width="9.109375" style="364"/>
    <col min="10759" max="10760" width="9.33203125" style="364" bestFit="1" customWidth="1"/>
    <col min="10761" max="10761" width="9.109375" style="364"/>
    <col min="10762" max="10763" width="11.6640625" style="364" bestFit="1" customWidth="1"/>
    <col min="10764" max="10766" width="10.109375" style="364" bestFit="1" customWidth="1"/>
    <col min="10767" max="11009" width="9.109375" style="364"/>
    <col min="11010" max="11010" width="21.5546875" style="364" customWidth="1"/>
    <col min="11011" max="11011" width="9.109375" style="364"/>
    <col min="11012" max="11013" width="10.109375" style="364" bestFit="1" customWidth="1"/>
    <col min="11014" max="11014" width="9.109375" style="364"/>
    <col min="11015" max="11016" width="9.33203125" style="364" bestFit="1" customWidth="1"/>
    <col min="11017" max="11017" width="9.109375" style="364"/>
    <col min="11018" max="11019" width="11.6640625" style="364" bestFit="1" customWidth="1"/>
    <col min="11020" max="11022" width="10.109375" style="364" bestFit="1" customWidth="1"/>
    <col min="11023" max="11265" width="9.109375" style="364"/>
    <col min="11266" max="11266" width="21.5546875" style="364" customWidth="1"/>
    <col min="11267" max="11267" width="9.109375" style="364"/>
    <col min="11268" max="11269" width="10.109375" style="364" bestFit="1" customWidth="1"/>
    <col min="11270" max="11270" width="9.109375" style="364"/>
    <col min="11271" max="11272" width="9.33203125" style="364" bestFit="1" customWidth="1"/>
    <col min="11273" max="11273" width="9.109375" style="364"/>
    <col min="11274" max="11275" width="11.6640625" style="364" bestFit="1" customWidth="1"/>
    <col min="11276" max="11278" width="10.109375" style="364" bestFit="1" customWidth="1"/>
    <col min="11279" max="11521" width="9.109375" style="364"/>
    <col min="11522" max="11522" width="21.5546875" style="364" customWidth="1"/>
    <col min="11523" max="11523" width="9.109375" style="364"/>
    <col min="11524" max="11525" width="10.109375" style="364" bestFit="1" customWidth="1"/>
    <col min="11526" max="11526" width="9.109375" style="364"/>
    <col min="11527" max="11528" width="9.33203125" style="364" bestFit="1" customWidth="1"/>
    <col min="11529" max="11529" width="9.109375" style="364"/>
    <col min="11530" max="11531" width="11.6640625" style="364" bestFit="1" customWidth="1"/>
    <col min="11532" max="11534" width="10.109375" style="364" bestFit="1" customWidth="1"/>
    <col min="11535" max="11777" width="9.109375" style="364"/>
    <col min="11778" max="11778" width="21.5546875" style="364" customWidth="1"/>
    <col min="11779" max="11779" width="9.109375" style="364"/>
    <col min="11780" max="11781" width="10.109375" style="364" bestFit="1" customWidth="1"/>
    <col min="11782" max="11782" width="9.109375" style="364"/>
    <col min="11783" max="11784" width="9.33203125" style="364" bestFit="1" customWidth="1"/>
    <col min="11785" max="11785" width="9.109375" style="364"/>
    <col min="11786" max="11787" width="11.6640625" style="364" bestFit="1" customWidth="1"/>
    <col min="11788" max="11790" width="10.109375" style="364" bestFit="1" customWidth="1"/>
    <col min="11791" max="12033" width="9.109375" style="364"/>
    <col min="12034" max="12034" width="21.5546875" style="364" customWidth="1"/>
    <col min="12035" max="12035" width="9.109375" style="364"/>
    <col min="12036" max="12037" width="10.109375" style="364" bestFit="1" customWidth="1"/>
    <col min="12038" max="12038" width="9.109375" style="364"/>
    <col min="12039" max="12040" width="9.33203125" style="364" bestFit="1" customWidth="1"/>
    <col min="12041" max="12041" width="9.109375" style="364"/>
    <col min="12042" max="12043" width="11.6640625" style="364" bestFit="1" customWidth="1"/>
    <col min="12044" max="12046" width="10.109375" style="364" bestFit="1" customWidth="1"/>
    <col min="12047" max="12289" width="9.109375" style="364"/>
    <col min="12290" max="12290" width="21.5546875" style="364" customWidth="1"/>
    <col min="12291" max="12291" width="9.109375" style="364"/>
    <col min="12292" max="12293" width="10.109375" style="364" bestFit="1" customWidth="1"/>
    <col min="12294" max="12294" width="9.109375" style="364"/>
    <col min="12295" max="12296" width="9.33203125" style="364" bestFit="1" customWidth="1"/>
    <col min="12297" max="12297" width="9.109375" style="364"/>
    <col min="12298" max="12299" width="11.6640625" style="364" bestFit="1" customWidth="1"/>
    <col min="12300" max="12302" width="10.109375" style="364" bestFit="1" customWidth="1"/>
    <col min="12303" max="12545" width="9.109375" style="364"/>
    <col min="12546" max="12546" width="21.5546875" style="364" customWidth="1"/>
    <col min="12547" max="12547" width="9.109375" style="364"/>
    <col min="12548" max="12549" width="10.109375" style="364" bestFit="1" customWidth="1"/>
    <col min="12550" max="12550" width="9.109375" style="364"/>
    <col min="12551" max="12552" width="9.33203125" style="364" bestFit="1" customWidth="1"/>
    <col min="12553" max="12553" width="9.109375" style="364"/>
    <col min="12554" max="12555" width="11.6640625" style="364" bestFit="1" customWidth="1"/>
    <col min="12556" max="12558" width="10.109375" style="364" bestFit="1" customWidth="1"/>
    <col min="12559" max="12801" width="9.109375" style="364"/>
    <col min="12802" max="12802" width="21.5546875" style="364" customWidth="1"/>
    <col min="12803" max="12803" width="9.109375" style="364"/>
    <col min="12804" max="12805" width="10.109375" style="364" bestFit="1" customWidth="1"/>
    <col min="12806" max="12806" width="9.109375" style="364"/>
    <col min="12807" max="12808" width="9.33203125" style="364" bestFit="1" customWidth="1"/>
    <col min="12809" max="12809" width="9.109375" style="364"/>
    <col min="12810" max="12811" width="11.6640625" style="364" bestFit="1" customWidth="1"/>
    <col min="12812" max="12814" width="10.109375" style="364" bestFit="1" customWidth="1"/>
    <col min="12815" max="13057" width="9.109375" style="364"/>
    <col min="13058" max="13058" width="21.5546875" style="364" customWidth="1"/>
    <col min="13059" max="13059" width="9.109375" style="364"/>
    <col min="13060" max="13061" width="10.109375" style="364" bestFit="1" customWidth="1"/>
    <col min="13062" max="13062" width="9.109375" style="364"/>
    <col min="13063" max="13064" width="9.33203125" style="364" bestFit="1" customWidth="1"/>
    <col min="13065" max="13065" width="9.109375" style="364"/>
    <col min="13066" max="13067" width="11.6640625" style="364" bestFit="1" customWidth="1"/>
    <col min="13068" max="13070" width="10.109375" style="364" bestFit="1" customWidth="1"/>
    <col min="13071" max="13313" width="9.109375" style="364"/>
    <col min="13314" max="13314" width="21.5546875" style="364" customWidth="1"/>
    <col min="13315" max="13315" width="9.109375" style="364"/>
    <col min="13316" max="13317" width="10.109375" style="364" bestFit="1" customWidth="1"/>
    <col min="13318" max="13318" width="9.109375" style="364"/>
    <col min="13319" max="13320" width="9.33203125" style="364" bestFit="1" customWidth="1"/>
    <col min="13321" max="13321" width="9.109375" style="364"/>
    <col min="13322" max="13323" width="11.6640625" style="364" bestFit="1" customWidth="1"/>
    <col min="13324" max="13326" width="10.109375" style="364" bestFit="1" customWidth="1"/>
    <col min="13327" max="13569" width="9.109375" style="364"/>
    <col min="13570" max="13570" width="21.5546875" style="364" customWidth="1"/>
    <col min="13571" max="13571" width="9.109375" style="364"/>
    <col min="13572" max="13573" width="10.109375" style="364" bestFit="1" customWidth="1"/>
    <col min="13574" max="13574" width="9.109375" style="364"/>
    <col min="13575" max="13576" width="9.33203125" style="364" bestFit="1" customWidth="1"/>
    <col min="13577" max="13577" width="9.109375" style="364"/>
    <col min="13578" max="13579" width="11.6640625" style="364" bestFit="1" customWidth="1"/>
    <col min="13580" max="13582" width="10.109375" style="364" bestFit="1" customWidth="1"/>
    <col min="13583" max="13825" width="9.109375" style="364"/>
    <col min="13826" max="13826" width="21.5546875" style="364" customWidth="1"/>
    <col min="13827" max="13827" width="9.109375" style="364"/>
    <col min="13828" max="13829" width="10.109375" style="364" bestFit="1" customWidth="1"/>
    <col min="13830" max="13830" width="9.109375" style="364"/>
    <col min="13831" max="13832" width="9.33203125" style="364" bestFit="1" customWidth="1"/>
    <col min="13833" max="13833" width="9.109375" style="364"/>
    <col min="13834" max="13835" width="11.6640625" style="364" bestFit="1" customWidth="1"/>
    <col min="13836" max="13838" width="10.109375" style="364" bestFit="1" customWidth="1"/>
    <col min="13839" max="14081" width="9.109375" style="364"/>
    <col min="14082" max="14082" width="21.5546875" style="364" customWidth="1"/>
    <col min="14083" max="14083" width="9.109375" style="364"/>
    <col min="14084" max="14085" width="10.109375" style="364" bestFit="1" customWidth="1"/>
    <col min="14086" max="14086" width="9.109375" style="364"/>
    <col min="14087" max="14088" width="9.33203125" style="364" bestFit="1" customWidth="1"/>
    <col min="14089" max="14089" width="9.109375" style="364"/>
    <col min="14090" max="14091" width="11.6640625" style="364" bestFit="1" customWidth="1"/>
    <col min="14092" max="14094" width="10.109375" style="364" bestFit="1" customWidth="1"/>
    <col min="14095" max="14337" width="9.109375" style="364"/>
    <col min="14338" max="14338" width="21.5546875" style="364" customWidth="1"/>
    <col min="14339" max="14339" width="9.109375" style="364"/>
    <col min="14340" max="14341" width="10.109375" style="364" bestFit="1" customWidth="1"/>
    <col min="14342" max="14342" width="9.109375" style="364"/>
    <col min="14343" max="14344" width="9.33203125" style="364" bestFit="1" customWidth="1"/>
    <col min="14345" max="14345" width="9.109375" style="364"/>
    <col min="14346" max="14347" width="11.6640625" style="364" bestFit="1" customWidth="1"/>
    <col min="14348" max="14350" width="10.109375" style="364" bestFit="1" customWidth="1"/>
    <col min="14351" max="14593" width="9.109375" style="364"/>
    <col min="14594" max="14594" width="21.5546875" style="364" customWidth="1"/>
    <col min="14595" max="14595" width="9.109375" style="364"/>
    <col min="14596" max="14597" width="10.109375" style="364" bestFit="1" customWidth="1"/>
    <col min="14598" max="14598" width="9.109375" style="364"/>
    <col min="14599" max="14600" width="9.33203125" style="364" bestFit="1" customWidth="1"/>
    <col min="14601" max="14601" width="9.109375" style="364"/>
    <col min="14602" max="14603" width="11.6640625" style="364" bestFit="1" customWidth="1"/>
    <col min="14604" max="14606" width="10.109375" style="364" bestFit="1" customWidth="1"/>
    <col min="14607" max="14849" width="9.109375" style="364"/>
    <col min="14850" max="14850" width="21.5546875" style="364" customWidth="1"/>
    <col min="14851" max="14851" width="9.109375" style="364"/>
    <col min="14852" max="14853" width="10.109375" style="364" bestFit="1" customWidth="1"/>
    <col min="14854" max="14854" width="9.109375" style="364"/>
    <col min="14855" max="14856" width="9.33203125" style="364" bestFit="1" customWidth="1"/>
    <col min="14857" max="14857" width="9.109375" style="364"/>
    <col min="14858" max="14859" width="11.6640625" style="364" bestFit="1" customWidth="1"/>
    <col min="14860" max="14862" width="10.109375" style="364" bestFit="1" customWidth="1"/>
    <col min="14863" max="15105" width="9.109375" style="364"/>
    <col min="15106" max="15106" width="21.5546875" style="364" customWidth="1"/>
    <col min="15107" max="15107" width="9.109375" style="364"/>
    <col min="15108" max="15109" width="10.109375" style="364" bestFit="1" customWidth="1"/>
    <col min="15110" max="15110" width="9.109375" style="364"/>
    <col min="15111" max="15112" width="9.33203125" style="364" bestFit="1" customWidth="1"/>
    <col min="15113" max="15113" width="9.109375" style="364"/>
    <col min="15114" max="15115" width="11.6640625" style="364" bestFit="1" customWidth="1"/>
    <col min="15116" max="15118" width="10.109375" style="364" bestFit="1" customWidth="1"/>
    <col min="15119" max="15361" width="9.109375" style="364"/>
    <col min="15362" max="15362" width="21.5546875" style="364" customWidth="1"/>
    <col min="15363" max="15363" width="9.109375" style="364"/>
    <col min="15364" max="15365" width="10.109375" style="364" bestFit="1" customWidth="1"/>
    <col min="15366" max="15366" width="9.109375" style="364"/>
    <col min="15367" max="15368" width="9.33203125" style="364" bestFit="1" customWidth="1"/>
    <col min="15369" max="15369" width="9.109375" style="364"/>
    <col min="15370" max="15371" width="11.6640625" style="364" bestFit="1" customWidth="1"/>
    <col min="15372" max="15374" width="10.109375" style="364" bestFit="1" customWidth="1"/>
    <col min="15375" max="15617" width="9.109375" style="364"/>
    <col min="15618" max="15618" width="21.5546875" style="364" customWidth="1"/>
    <col min="15619" max="15619" width="9.109375" style="364"/>
    <col min="15620" max="15621" width="10.109375" style="364" bestFit="1" customWidth="1"/>
    <col min="15622" max="15622" width="9.109375" style="364"/>
    <col min="15623" max="15624" width="9.33203125" style="364" bestFit="1" customWidth="1"/>
    <col min="15625" max="15625" width="9.109375" style="364"/>
    <col min="15626" max="15627" width="11.6640625" style="364" bestFit="1" customWidth="1"/>
    <col min="15628" max="15630" width="10.109375" style="364" bestFit="1" customWidth="1"/>
    <col min="15631" max="15873" width="9.109375" style="364"/>
    <col min="15874" max="15874" width="21.5546875" style="364" customWidth="1"/>
    <col min="15875" max="15875" width="9.109375" style="364"/>
    <col min="15876" max="15877" width="10.109375" style="364" bestFit="1" customWidth="1"/>
    <col min="15878" max="15878" width="9.109375" style="364"/>
    <col min="15879" max="15880" width="9.33203125" style="364" bestFit="1" customWidth="1"/>
    <col min="15881" max="15881" width="9.109375" style="364"/>
    <col min="15882" max="15883" width="11.6640625" style="364" bestFit="1" customWidth="1"/>
    <col min="15884" max="15886" width="10.109375" style="364" bestFit="1" customWidth="1"/>
    <col min="15887" max="16129" width="9.109375" style="364"/>
    <col min="16130" max="16130" width="21.5546875" style="364" customWidth="1"/>
    <col min="16131" max="16131" width="9.109375" style="364"/>
    <col min="16132" max="16133" width="10.109375" style="364" bestFit="1" customWidth="1"/>
    <col min="16134" max="16134" width="9.109375" style="364"/>
    <col min="16135" max="16136" width="9.33203125" style="364" bestFit="1" customWidth="1"/>
    <col min="16137" max="16137" width="9.109375" style="364"/>
    <col min="16138" max="16139" width="11.6640625" style="364" bestFit="1" customWidth="1"/>
    <col min="16140" max="16142" width="10.109375" style="364" bestFit="1" customWidth="1"/>
    <col min="16143" max="16384" width="9.109375" style="364"/>
  </cols>
  <sheetData>
    <row r="1" spans="1:14" ht="12.75" customHeight="1">
      <c r="A1" s="1553" t="s">
        <v>318</v>
      </c>
      <c r="B1" s="1167"/>
      <c r="C1" s="1167"/>
      <c r="D1" s="1167"/>
      <c r="E1" s="1167"/>
      <c r="F1" s="1167"/>
      <c r="G1" s="1167"/>
      <c r="H1" s="1554"/>
      <c r="I1" s="1555" t="s">
        <v>335</v>
      </c>
      <c r="J1" s="1509"/>
      <c r="K1" s="1509"/>
      <c r="L1" s="1509"/>
      <c r="M1" s="1509"/>
      <c r="N1" s="1513">
        <f>'F1  Cover'!A22</f>
        <v>3600</v>
      </c>
    </row>
    <row r="2" spans="1:14">
      <c r="A2" s="1557"/>
      <c r="B2" s="1558"/>
      <c r="C2" s="1558"/>
      <c r="D2" s="1558"/>
      <c r="E2" s="1558"/>
      <c r="F2" s="1558"/>
      <c r="G2" s="1558"/>
      <c r="H2" s="1558"/>
      <c r="I2" s="1556"/>
      <c r="J2" s="1511"/>
      <c r="K2" s="1511"/>
      <c r="L2" s="1511"/>
      <c r="M2" s="1511"/>
      <c r="N2" s="1514"/>
    </row>
    <row r="3" spans="1:14">
      <c r="A3" s="464" t="s">
        <v>444</v>
      </c>
      <c r="B3" s="463" t="str">
        <f>'F1 Forecast Consultant'!C3</f>
        <v>WESTERN</v>
      </c>
      <c r="I3" s="1559" t="s">
        <v>320</v>
      </c>
      <c r="J3" s="1517"/>
      <c r="K3" s="1518">
        <f>'F1  Cover'!K8</f>
        <v>1</v>
      </c>
      <c r="L3" s="1519"/>
      <c r="M3" s="1519"/>
      <c r="N3" s="1520"/>
    </row>
    <row r="4" spans="1:14" ht="13.8" thickBot="1">
      <c r="A4" s="1549"/>
      <c r="B4" s="1550"/>
      <c r="C4" s="1550"/>
      <c r="D4" s="1550"/>
      <c r="E4" s="1550"/>
      <c r="F4" s="1550"/>
      <c r="G4" s="1550"/>
      <c r="H4" s="1550"/>
      <c r="I4" s="1551" t="s">
        <v>321</v>
      </c>
      <c r="J4" s="1552"/>
      <c r="K4" s="1541" t="str">
        <f>'F1 Forecast Combined'!E3</f>
        <v>X.002-180-2024/1RF</v>
      </c>
      <c r="L4" s="1541"/>
      <c r="M4" s="1541"/>
      <c r="N4" s="1542"/>
    </row>
    <row r="5" spans="1:14" ht="13.8" thickBot="1">
      <c r="A5" s="442" t="s">
        <v>322</v>
      </c>
      <c r="B5" s="443"/>
      <c r="C5" s="443"/>
      <c r="D5" s="443"/>
      <c r="E5" s="443"/>
      <c r="F5" s="443"/>
      <c r="G5" s="443"/>
      <c r="H5" s="443"/>
      <c r="I5" s="443"/>
      <c r="J5" s="443"/>
      <c r="K5" s="443"/>
      <c r="L5" s="443"/>
      <c r="M5" s="443"/>
      <c r="N5" s="444"/>
    </row>
    <row r="6" spans="1:14" ht="38.25" customHeight="1" thickBot="1">
      <c r="A6" s="366" t="s">
        <v>93</v>
      </c>
      <c r="B6" s="367" t="s">
        <v>0</v>
      </c>
      <c r="C6" s="468" t="s">
        <v>1</v>
      </c>
      <c r="D6" s="469" t="s">
        <v>323</v>
      </c>
      <c r="E6" s="175" t="s">
        <v>324</v>
      </c>
      <c r="F6" s="175" t="s">
        <v>325</v>
      </c>
      <c r="G6" s="175" t="s">
        <v>326</v>
      </c>
      <c r="H6" s="468" t="s">
        <v>327</v>
      </c>
      <c r="I6" s="469" t="s">
        <v>3</v>
      </c>
      <c r="J6" s="175" t="s">
        <v>328</v>
      </c>
      <c r="K6" s="175" t="s">
        <v>329</v>
      </c>
      <c r="L6" s="175" t="s">
        <v>330</v>
      </c>
      <c r="M6" s="175" t="s">
        <v>331</v>
      </c>
      <c r="N6" s="468" t="s">
        <v>332</v>
      </c>
    </row>
    <row r="7" spans="1:14" ht="31.5" customHeight="1">
      <c r="A7" s="366">
        <f>'RRM Pricing Schedule'!A102</f>
        <v>3600</v>
      </c>
      <c r="B7" s="367" t="str">
        <f>'RRM Pricing Schedule'!B102</f>
        <v>ADDITIONAL DUTIES</v>
      </c>
      <c r="C7" s="379"/>
      <c r="D7" s="385"/>
      <c r="E7" s="368"/>
      <c r="F7" s="368"/>
      <c r="G7" s="368"/>
      <c r="H7" s="386"/>
      <c r="I7" s="449"/>
      <c r="J7" s="368"/>
      <c r="K7" s="368"/>
      <c r="L7" s="368"/>
      <c r="M7" s="368"/>
      <c r="N7" s="450"/>
    </row>
    <row r="8" spans="1:14" ht="31.5" customHeight="1">
      <c r="A8" s="451">
        <f>'RRM Pricing Schedule'!A103</f>
        <v>36.01</v>
      </c>
      <c r="B8" s="371" t="str">
        <f>'RRM Pricing Schedule'!B103</f>
        <v>Additional duties by Service Provider</v>
      </c>
      <c r="C8" s="380"/>
      <c r="D8" s="387"/>
      <c r="E8" s="372"/>
      <c r="F8" s="372"/>
      <c r="G8" s="372"/>
      <c r="H8" s="373"/>
      <c r="I8" s="452"/>
      <c r="J8" s="372"/>
      <c r="K8" s="372"/>
      <c r="L8" s="372"/>
      <c r="M8" s="372"/>
      <c r="N8" s="453"/>
    </row>
    <row r="9" spans="1:14" ht="31.5" customHeight="1">
      <c r="A9" s="516"/>
      <c r="B9" s="371" t="str">
        <f>'RRM Pricing Schedule'!B104</f>
        <v>(a)   Personnel – Category A</v>
      </c>
      <c r="C9" s="380" t="str">
        <f>'RRM Pricing Schedule'!C104</f>
        <v>Hour</v>
      </c>
      <c r="D9" s="387">
        <f>'RRM Pricing Schedule'!D104</f>
        <v>50</v>
      </c>
      <c r="E9" s="441">
        <f>D9</f>
        <v>50</v>
      </c>
      <c r="F9" s="585">
        <f>DATA!$BA$52</f>
        <v>0</v>
      </c>
      <c r="G9" s="441"/>
      <c r="H9" s="373">
        <f>F9+G9</f>
        <v>0</v>
      </c>
      <c r="I9" s="452">
        <f>'RRM Pricing Schedule'!E104</f>
        <v>3534</v>
      </c>
      <c r="J9" s="372">
        <f>D9*I9</f>
        <v>176700</v>
      </c>
      <c r="K9" s="372">
        <f>E9*I9</f>
        <v>176700</v>
      </c>
      <c r="L9" s="372">
        <f>F9*I9</f>
        <v>0</v>
      </c>
      <c r="M9" s="372">
        <f>G9*I9</f>
        <v>0</v>
      </c>
      <c r="N9" s="373">
        <f>H9*I9</f>
        <v>0</v>
      </c>
    </row>
    <row r="10" spans="1:14" ht="31.5" customHeight="1">
      <c r="A10" s="516"/>
      <c r="B10" s="371" t="str">
        <f>'RRM Pricing Schedule'!B105</f>
        <v>(b)   Personnel – Category B</v>
      </c>
      <c r="C10" s="380" t="str">
        <f>'RRM Pricing Schedule'!C105</f>
        <v>Hour</v>
      </c>
      <c r="D10" s="387">
        <f>'RRM Pricing Schedule'!D105</f>
        <v>300</v>
      </c>
      <c r="E10" s="441">
        <f t="shared" ref="E10:E14" si="0">D10</f>
        <v>300</v>
      </c>
      <c r="F10" s="585">
        <f>DATA!$BB$52</f>
        <v>0</v>
      </c>
      <c r="G10" s="441"/>
      <c r="H10" s="373">
        <f t="shared" ref="H10:H14" si="1">F10+G10</f>
        <v>0</v>
      </c>
      <c r="I10" s="452">
        <f>'RRM Pricing Schedule'!E105</f>
        <v>2796</v>
      </c>
      <c r="J10" s="372">
        <f t="shared" ref="J10:J14" si="2">D10*I10</f>
        <v>838800</v>
      </c>
      <c r="K10" s="372">
        <f t="shared" ref="K10:K14" si="3">E10*I10</f>
        <v>838800</v>
      </c>
      <c r="L10" s="372">
        <f t="shared" ref="L10:L14" si="4">F10*I10</f>
        <v>0</v>
      </c>
      <c r="M10" s="372">
        <f t="shared" ref="M10:M14" si="5">G10*I10</f>
        <v>0</v>
      </c>
      <c r="N10" s="373">
        <f t="shared" ref="N10:N14" si="6">H10*I10</f>
        <v>0</v>
      </c>
    </row>
    <row r="11" spans="1:14" ht="31.5" customHeight="1">
      <c r="A11" s="516"/>
      <c r="B11" s="371" t="str">
        <f>'RRM Pricing Schedule'!B106</f>
        <v>(c)   Personnel – Category C</v>
      </c>
      <c r="C11" s="380" t="str">
        <f>'RRM Pricing Schedule'!C106</f>
        <v>Hour</v>
      </c>
      <c r="D11" s="387">
        <f>'RRM Pricing Schedule'!D106</f>
        <v>500</v>
      </c>
      <c r="E11" s="441">
        <f t="shared" si="0"/>
        <v>500</v>
      </c>
      <c r="F11" s="585">
        <f>DATA!$BC$52</f>
        <v>0</v>
      </c>
      <c r="G11" s="441"/>
      <c r="H11" s="373">
        <f t="shared" si="1"/>
        <v>0</v>
      </c>
      <c r="I11" s="452">
        <f>'RRM Pricing Schedule'!E106</f>
        <v>2403</v>
      </c>
      <c r="J11" s="372">
        <f t="shared" si="2"/>
        <v>1201500</v>
      </c>
      <c r="K11" s="372">
        <f t="shared" si="3"/>
        <v>1201500</v>
      </c>
      <c r="L11" s="372">
        <f t="shared" si="4"/>
        <v>0</v>
      </c>
      <c r="M11" s="372">
        <f t="shared" si="5"/>
        <v>0</v>
      </c>
      <c r="N11" s="373">
        <f t="shared" si="6"/>
        <v>0</v>
      </c>
    </row>
    <row r="12" spans="1:14" ht="31.5" customHeight="1">
      <c r="A12" s="516"/>
      <c r="B12" s="371" t="str">
        <f>'RRM Pricing Schedule'!B107</f>
        <v>(d)   Personnel – Category D</v>
      </c>
      <c r="C12" s="380" t="str">
        <f>'RRM Pricing Schedule'!C107</f>
        <v>Hour</v>
      </c>
      <c r="D12" s="387">
        <f>'RRM Pricing Schedule'!D107</f>
        <v>500</v>
      </c>
      <c r="E12" s="441">
        <f t="shared" si="0"/>
        <v>500</v>
      </c>
      <c r="F12" s="585">
        <f>DATA!$BD$52</f>
        <v>0</v>
      </c>
      <c r="G12" s="441"/>
      <c r="H12" s="373">
        <f t="shared" si="1"/>
        <v>0</v>
      </c>
      <c r="I12" s="452">
        <f>'RRM Pricing Schedule'!E107</f>
        <v>1167</v>
      </c>
      <c r="J12" s="372">
        <f t="shared" si="2"/>
        <v>583500</v>
      </c>
      <c r="K12" s="372">
        <f t="shared" si="3"/>
        <v>583500</v>
      </c>
      <c r="L12" s="372">
        <f t="shared" si="4"/>
        <v>0</v>
      </c>
      <c r="M12" s="372">
        <f t="shared" si="5"/>
        <v>0</v>
      </c>
      <c r="N12" s="373">
        <f t="shared" si="6"/>
        <v>0</v>
      </c>
    </row>
    <row r="13" spans="1:14" ht="31.5" customHeight="1">
      <c r="A13" s="933"/>
      <c r="B13" s="371" t="str">
        <f>'RRM Pricing Schedule'!B108</f>
        <v>(e)   Emergency</v>
      </c>
      <c r="C13" s="380" t="str">
        <f>'RRM Pricing Schedule'!C108</f>
        <v>Prov. Sum</v>
      </c>
      <c r="D13" s="387">
        <v>1</v>
      </c>
      <c r="E13" s="441">
        <f>D13</f>
        <v>1</v>
      </c>
      <c r="F13" s="585">
        <f>DATA!$CB$52</f>
        <v>0</v>
      </c>
      <c r="G13" s="584">
        <f>'Pg 4 P Sums'!K189-F13</f>
        <v>0</v>
      </c>
      <c r="H13" s="373">
        <f>F13+G13</f>
        <v>0</v>
      </c>
      <c r="I13" s="452">
        <f>'RRM Pricing Schedule'!E108</f>
        <v>200000</v>
      </c>
      <c r="J13" s="372">
        <f>D13*I13</f>
        <v>200000</v>
      </c>
      <c r="K13" s="372">
        <f>E13*I13</f>
        <v>200000</v>
      </c>
      <c r="L13" s="372">
        <f>F13*I13</f>
        <v>0</v>
      </c>
      <c r="M13" s="372">
        <f>G13*I13</f>
        <v>0</v>
      </c>
      <c r="N13" s="373">
        <f>H13*I13</f>
        <v>0</v>
      </c>
    </row>
    <row r="14" spans="1:14" ht="31.5" customHeight="1">
      <c r="A14" s="516">
        <f>'RRM Pricing Schedule'!A109</f>
        <v>36.020000000000003</v>
      </c>
      <c r="B14" s="371" t="str">
        <f>'RRM Pricing Schedule'!B109</f>
        <v>Additional duties by Employer</v>
      </c>
      <c r="C14" s="380" t="str">
        <f>'RRM Pricing Schedule'!C109</f>
        <v>Hour</v>
      </c>
      <c r="D14" s="387">
        <v>0</v>
      </c>
      <c r="E14" s="441">
        <f t="shared" si="0"/>
        <v>0</v>
      </c>
      <c r="F14" s="585">
        <f>DATA!$BE$52</f>
        <v>0</v>
      </c>
      <c r="G14" s="441"/>
      <c r="H14" s="373">
        <f t="shared" si="1"/>
        <v>0</v>
      </c>
      <c r="I14" s="452">
        <f>'RRM Pricing Schedule'!E109</f>
        <v>-1500</v>
      </c>
      <c r="J14" s="372">
        <f t="shared" si="2"/>
        <v>0</v>
      </c>
      <c r="K14" s="372">
        <f t="shared" si="3"/>
        <v>0</v>
      </c>
      <c r="L14" s="372">
        <f t="shared" si="4"/>
        <v>0</v>
      </c>
      <c r="M14" s="372">
        <f t="shared" si="5"/>
        <v>0</v>
      </c>
      <c r="N14" s="373">
        <f t="shared" si="6"/>
        <v>0</v>
      </c>
    </row>
    <row r="15" spans="1:14" ht="31.5" customHeight="1">
      <c r="A15" s="451">
        <f>'RRM Pricing Schedule'!A110</f>
        <v>36.03</v>
      </c>
      <c r="B15" s="371" t="str">
        <f>'RRM Pricing Schedule'!B110</f>
        <v>Disbursements</v>
      </c>
      <c r="C15" s="380"/>
      <c r="D15" s="387"/>
      <c r="E15" s="372"/>
      <c r="F15" s="372"/>
      <c r="G15" s="372"/>
      <c r="H15" s="373"/>
      <c r="I15" s="462"/>
      <c r="J15" s="372"/>
      <c r="K15" s="372"/>
      <c r="L15" s="372"/>
      <c r="M15" s="372"/>
      <c r="N15" s="373"/>
    </row>
    <row r="16" spans="1:14" ht="31.5" customHeight="1">
      <c r="A16" s="451"/>
      <c r="B16" s="371" t="str">
        <f>'RRM Pricing Schedule'!B111</f>
        <v>(a)   Disbursements</v>
      </c>
      <c r="C16" s="380" t="str">
        <f>'RRM Pricing Schedule'!C111</f>
        <v>Prime cost</v>
      </c>
      <c r="D16" s="387">
        <v>1</v>
      </c>
      <c r="E16" s="441">
        <f>D16</f>
        <v>1</v>
      </c>
      <c r="F16" s="585">
        <f>DATA!$BF$52</f>
        <v>0</v>
      </c>
      <c r="G16" s="584">
        <f>'Pg 4 P Sums'!K198-F16</f>
        <v>0</v>
      </c>
      <c r="H16" s="373">
        <f>F16+G16</f>
        <v>0</v>
      </c>
      <c r="I16" s="452">
        <f>'RRM Pricing Schedule'!E111</f>
        <v>200000</v>
      </c>
      <c r="J16" s="372">
        <f>D16*I16</f>
        <v>200000</v>
      </c>
      <c r="K16" s="372">
        <f>E16*I16</f>
        <v>200000</v>
      </c>
      <c r="L16" s="372">
        <f>F16*I16</f>
        <v>0</v>
      </c>
      <c r="M16" s="372">
        <f>G16*I16</f>
        <v>0</v>
      </c>
      <c r="N16" s="373">
        <f>H16*I16</f>
        <v>0</v>
      </c>
    </row>
    <row r="17" spans="1:14" ht="31.5" customHeight="1">
      <c r="A17" s="451"/>
      <c r="B17" s="371" t="str">
        <f>'RRM Pricing Schedule'!B112</f>
        <v>(b)   Handling cost i.r.o. item 36.03(a)</v>
      </c>
      <c r="C17" s="380" t="str">
        <f>'RRM Pricing Schedule'!C112</f>
        <v>%</v>
      </c>
      <c r="D17" s="387">
        <f>'RRM Pricing Schedule'!D112</f>
        <v>200000</v>
      </c>
      <c r="E17" s="734">
        <f>K16</f>
        <v>200000</v>
      </c>
      <c r="F17" s="372">
        <f t="shared" ref="F17:G17" si="7">L16</f>
        <v>0</v>
      </c>
      <c r="G17" s="372">
        <f t="shared" si="7"/>
        <v>0</v>
      </c>
      <c r="H17" s="373">
        <f>F17+G17</f>
        <v>0</v>
      </c>
      <c r="I17" s="462">
        <f>'RRM Pricing Schedule'!E112</f>
        <v>0</v>
      </c>
      <c r="J17" s="372">
        <f>D17*I17</f>
        <v>0</v>
      </c>
      <c r="K17" s="372">
        <f>E17*I17</f>
        <v>0</v>
      </c>
      <c r="L17" s="372">
        <f>F17*I17</f>
        <v>0</v>
      </c>
      <c r="M17" s="372">
        <f>G17*I17</f>
        <v>0</v>
      </c>
      <c r="N17" s="373">
        <f>H17*I17</f>
        <v>0</v>
      </c>
    </row>
    <row r="18" spans="1:14" ht="31.5" customHeight="1">
      <c r="A18" s="451">
        <f>'RRM Pricing Schedule'!A113</f>
        <v>36.04</v>
      </c>
      <c r="B18" s="371" t="str">
        <f>'RRM Pricing Schedule'!B113</f>
        <v>Additional duties by sub-service provider</v>
      </c>
      <c r="C18" s="380"/>
      <c r="D18" s="387"/>
      <c r="E18" s="372"/>
      <c r="F18" s="372"/>
      <c r="G18" s="372"/>
      <c r="H18" s="373"/>
      <c r="I18" s="462"/>
      <c r="J18" s="372"/>
      <c r="K18" s="372"/>
      <c r="L18" s="372"/>
      <c r="M18" s="372"/>
      <c r="N18" s="373"/>
    </row>
    <row r="19" spans="1:14" ht="31.5" customHeight="1">
      <c r="A19" s="451"/>
      <c r="B19" s="371" t="str">
        <f>'RRM Pricing Schedule'!B114</f>
        <v>(a)   Additional duties</v>
      </c>
      <c r="C19" s="380" t="str">
        <f>'RRM Pricing Schedule'!C114</f>
        <v>Prime cost</v>
      </c>
      <c r="D19" s="387">
        <v>1</v>
      </c>
      <c r="E19" s="441">
        <f>D19</f>
        <v>1</v>
      </c>
      <c r="F19" s="585">
        <f>DATA!$BG$52</f>
        <v>0</v>
      </c>
      <c r="G19" s="584">
        <f>'Pg 4 P Sums'!K207-F19</f>
        <v>0</v>
      </c>
      <c r="H19" s="373">
        <f>F19+G19</f>
        <v>0</v>
      </c>
      <c r="I19" s="452">
        <f>'RRM Pricing Schedule'!E114</f>
        <v>750000</v>
      </c>
      <c r="J19" s="372">
        <f>D19*I19</f>
        <v>750000</v>
      </c>
      <c r="K19" s="372">
        <f>E19*I19</f>
        <v>750000</v>
      </c>
      <c r="L19" s="372">
        <f>F19*I19</f>
        <v>0</v>
      </c>
      <c r="M19" s="372">
        <f>G19*I19</f>
        <v>0</v>
      </c>
      <c r="N19" s="373">
        <f>H19*I19</f>
        <v>0</v>
      </c>
    </row>
    <row r="20" spans="1:14" ht="31.5" customHeight="1">
      <c r="A20" s="451"/>
      <c r="B20" s="371" t="str">
        <f>'RRM Pricing Schedule'!B115</f>
        <v>(b)   Handling cost i.r.o. item 36.04(a)</v>
      </c>
      <c r="C20" s="380" t="str">
        <f>'RRM Pricing Schedule'!C115</f>
        <v>%</v>
      </c>
      <c r="D20" s="387">
        <f>'RRM Pricing Schedule'!D115</f>
        <v>750000</v>
      </c>
      <c r="E20" s="734">
        <f>K19</f>
        <v>750000</v>
      </c>
      <c r="F20" s="372">
        <f t="shared" ref="F20" si="8">L19</f>
        <v>0</v>
      </c>
      <c r="G20" s="372">
        <f t="shared" ref="G20" si="9">M19</f>
        <v>0</v>
      </c>
      <c r="H20" s="373">
        <f>F20+G20</f>
        <v>0</v>
      </c>
      <c r="I20" s="462">
        <f>'RRM Pricing Schedule'!E115</f>
        <v>0</v>
      </c>
      <c r="J20" s="372">
        <f>D20*I20</f>
        <v>0</v>
      </c>
      <c r="K20" s="372">
        <f>E20*I20</f>
        <v>0</v>
      </c>
      <c r="L20" s="372">
        <f>F20*I20</f>
        <v>0</v>
      </c>
      <c r="M20" s="372">
        <f>G20*I20</f>
        <v>0</v>
      </c>
      <c r="N20" s="373">
        <f>H20*I20</f>
        <v>0</v>
      </c>
    </row>
    <row r="21" spans="1:14" ht="31.5" customHeight="1">
      <c r="A21" s="516">
        <f>'RRM Pricing Schedule'!A116</f>
        <v>36.049999999999997</v>
      </c>
      <c r="B21" s="371" t="str">
        <f>'RRM Pricing Schedule'!B116</f>
        <v>Payment and Monthly reporting costs</v>
      </c>
      <c r="C21" s="380" t="str">
        <f>'RRM Pricing Schedule'!C116</f>
        <v>Month</v>
      </c>
      <c r="D21" s="387">
        <f>'RRM Pricing Schedule'!D116</f>
        <v>64</v>
      </c>
      <c r="E21" s="441">
        <f t="shared" ref="E21" si="10">D21</f>
        <v>64</v>
      </c>
      <c r="F21" s="585">
        <f>DATA!$BH$52</f>
        <v>0</v>
      </c>
      <c r="G21" s="441"/>
      <c r="H21" s="373">
        <f t="shared" ref="H21" si="11">F21+G21</f>
        <v>0</v>
      </c>
      <c r="I21" s="452">
        <f>'RRM Pricing Schedule'!E116</f>
        <v>0</v>
      </c>
      <c r="J21" s="372">
        <f t="shared" ref="J21" si="12">D21*I21</f>
        <v>0</v>
      </c>
      <c r="K21" s="372">
        <f t="shared" ref="K21" si="13">E21*I21</f>
        <v>0</v>
      </c>
      <c r="L21" s="372">
        <f t="shared" ref="L21" si="14">F21*I21</f>
        <v>0</v>
      </c>
      <c r="M21" s="372">
        <f t="shared" ref="M21" si="15">G21*I21</f>
        <v>0</v>
      </c>
      <c r="N21" s="373">
        <f t="shared" ref="N21" si="16">H21*I21</f>
        <v>0</v>
      </c>
    </row>
    <row r="22" spans="1:14" ht="31.5" customHeight="1">
      <c r="A22" s="451">
        <f>'RRM Pricing Schedule'!A117</f>
        <v>36.06</v>
      </c>
      <c r="B22" s="371" t="str">
        <f>'RRM Pricing Schedule'!B117</f>
        <v>Project Liaison Committee (PLC)</v>
      </c>
      <c r="C22" s="380"/>
      <c r="D22" s="387"/>
      <c r="E22" s="372"/>
      <c r="F22" s="372"/>
      <c r="G22" s="372"/>
      <c r="H22" s="373"/>
      <c r="I22" s="462"/>
      <c r="J22" s="372"/>
      <c r="K22" s="372"/>
      <c r="L22" s="372"/>
      <c r="M22" s="372"/>
      <c r="N22" s="373"/>
    </row>
    <row r="23" spans="1:14" ht="31.5" customHeight="1">
      <c r="A23" s="451"/>
      <c r="B23" s="371" t="str">
        <f>'RRM Pricing Schedule'!B118</f>
        <v>(a)   Establishment of PLC</v>
      </c>
      <c r="C23" s="380" t="str">
        <f>'RRM Pricing Schedule'!C118</f>
        <v>Lump sum</v>
      </c>
      <c r="D23" s="387">
        <v>1</v>
      </c>
      <c r="E23" s="734">
        <f t="shared" ref="E23" si="17">D23</f>
        <v>1</v>
      </c>
      <c r="F23" s="585">
        <f>DATA!$BI$52</f>
        <v>0</v>
      </c>
      <c r="G23" s="441"/>
      <c r="H23" s="373">
        <f>IF((F23+G23)&gt;E23,"ERROR TOO MUCH",(F23+G23))</f>
        <v>0</v>
      </c>
      <c r="I23" s="452">
        <f>'RRM Pricing Schedule'!F118</f>
        <v>0</v>
      </c>
      <c r="J23" s="372">
        <f t="shared" ref="J23:J28" si="18">D23*I23</f>
        <v>0</v>
      </c>
      <c r="K23" s="372">
        <f t="shared" ref="K23:K28" si="19">E23*I23</f>
        <v>0</v>
      </c>
      <c r="L23" s="372">
        <f t="shared" ref="L23:L28" si="20">F23*I23</f>
        <v>0</v>
      </c>
      <c r="M23" s="372">
        <f t="shared" ref="M23:M28" si="21">G23*I23</f>
        <v>0</v>
      </c>
      <c r="N23" s="373">
        <f t="shared" ref="N23:N28" si="22">H23*I23</f>
        <v>0</v>
      </c>
    </row>
    <row r="24" spans="1:14" ht="31.5" customHeight="1">
      <c r="A24" s="451"/>
      <c r="B24" s="371" t="str">
        <f>'RRM Pricing Schedule'!B119</f>
        <v>(b)   Liaison/meetings with the PLC during Design and Construction Phase</v>
      </c>
      <c r="C24" s="380" t="str">
        <f>'RRM Pricing Schedule'!C119</f>
        <v>Prov. Sum</v>
      </c>
      <c r="D24" s="387">
        <v>1</v>
      </c>
      <c r="E24" s="441">
        <f>D24</f>
        <v>1</v>
      </c>
      <c r="F24" s="585">
        <f>DATA!$BJ$52</f>
        <v>0</v>
      </c>
      <c r="G24" s="584">
        <f>'Pg 4 P Sums'!K216-F24</f>
        <v>0</v>
      </c>
      <c r="H24" s="373">
        <f>F24+G24</f>
        <v>0</v>
      </c>
      <c r="I24" s="452">
        <f>'RRM Pricing Schedule'!F119</f>
        <v>350000</v>
      </c>
      <c r="J24" s="372">
        <f t="shared" si="18"/>
        <v>350000</v>
      </c>
      <c r="K24" s="372">
        <f t="shared" si="19"/>
        <v>350000</v>
      </c>
      <c r="L24" s="372">
        <f t="shared" si="20"/>
        <v>0</v>
      </c>
      <c r="M24" s="372">
        <f t="shared" si="21"/>
        <v>0</v>
      </c>
      <c r="N24" s="373">
        <f t="shared" si="22"/>
        <v>0</v>
      </c>
    </row>
    <row r="25" spans="1:14" ht="31.5" customHeight="1">
      <c r="A25" s="451"/>
      <c r="B25" s="371" t="str">
        <f>'RRM Pricing Schedule'!B120</f>
        <v>(c)   PLC stipend</v>
      </c>
      <c r="C25" s="380" t="str">
        <f>'RRM Pricing Schedule'!C120</f>
        <v>Prov. Sum</v>
      </c>
      <c r="D25" s="387">
        <v>1</v>
      </c>
      <c r="E25" s="441">
        <f>D25</f>
        <v>1</v>
      </c>
      <c r="F25" s="585">
        <f>DATA!$BK$52</f>
        <v>0</v>
      </c>
      <c r="G25" s="584">
        <f>'Pg 4 P Sums'!K224-F25</f>
        <v>0</v>
      </c>
      <c r="H25" s="373">
        <f>F25+G25</f>
        <v>0</v>
      </c>
      <c r="I25" s="452">
        <f>'RRM Pricing Schedule'!F120</f>
        <v>350000</v>
      </c>
      <c r="J25" s="372">
        <f t="shared" si="18"/>
        <v>350000</v>
      </c>
      <c r="K25" s="372">
        <f t="shared" si="19"/>
        <v>350000</v>
      </c>
      <c r="L25" s="372">
        <f t="shared" si="20"/>
        <v>0</v>
      </c>
      <c r="M25" s="372">
        <f t="shared" si="21"/>
        <v>0</v>
      </c>
      <c r="N25" s="373">
        <f t="shared" si="22"/>
        <v>0</v>
      </c>
    </row>
    <row r="26" spans="1:14" ht="31.5" customHeight="1">
      <c r="A26" s="451"/>
      <c r="B26" s="371" t="str">
        <f>'RRM Pricing Schedule'!B121</f>
        <v>(d)   Handling cost i.r.o. item 36.06(c)</v>
      </c>
      <c r="C26" s="380" t="str">
        <f>'RRM Pricing Schedule'!C121</f>
        <v>%</v>
      </c>
      <c r="D26" s="387">
        <f>'RRM Pricing Schedule'!D121</f>
        <v>350000</v>
      </c>
      <c r="E26" s="734">
        <f>K25</f>
        <v>350000</v>
      </c>
      <c r="F26" s="372">
        <f t="shared" ref="F26" si="23">L25</f>
        <v>0</v>
      </c>
      <c r="G26" s="372">
        <f t="shared" ref="G26" si="24">M25</f>
        <v>0</v>
      </c>
      <c r="H26" s="373">
        <f>F26+G26</f>
        <v>0</v>
      </c>
      <c r="I26" s="462">
        <f>'RRM Pricing Schedule'!E121</f>
        <v>0</v>
      </c>
      <c r="J26" s="372">
        <f t="shared" si="18"/>
        <v>0</v>
      </c>
      <c r="K26" s="372">
        <f t="shared" si="19"/>
        <v>0</v>
      </c>
      <c r="L26" s="372">
        <f t="shared" si="20"/>
        <v>0</v>
      </c>
      <c r="M26" s="372">
        <f t="shared" si="21"/>
        <v>0</v>
      </c>
      <c r="N26" s="373">
        <f t="shared" si="22"/>
        <v>0</v>
      </c>
    </row>
    <row r="27" spans="1:14" ht="31.5" customHeight="1">
      <c r="A27" s="451"/>
      <c r="B27" s="371" t="str">
        <f>'RRM Pricing Schedule'!B122</f>
        <v>(e)  Training of PLC members</v>
      </c>
      <c r="C27" s="380" t="str">
        <f>'RRM Pricing Schedule'!C122</f>
        <v>Prov. Sum</v>
      </c>
      <c r="D27" s="387">
        <v>1</v>
      </c>
      <c r="E27" s="441">
        <f>D27</f>
        <v>1</v>
      </c>
      <c r="F27" s="585">
        <f>DATA!$BL$52</f>
        <v>0</v>
      </c>
      <c r="G27" s="584">
        <f>'Pg 4 P Sums'!K232-F27</f>
        <v>0</v>
      </c>
      <c r="H27" s="373">
        <f>F27+G27</f>
        <v>0</v>
      </c>
      <c r="I27" s="452">
        <f>'RRM Pricing Schedule'!F122</f>
        <v>250000</v>
      </c>
      <c r="J27" s="372">
        <f t="shared" si="18"/>
        <v>250000</v>
      </c>
      <c r="K27" s="372">
        <f t="shared" si="19"/>
        <v>250000</v>
      </c>
      <c r="L27" s="372">
        <f t="shared" si="20"/>
        <v>0</v>
      </c>
      <c r="M27" s="372">
        <f t="shared" si="21"/>
        <v>0</v>
      </c>
      <c r="N27" s="373">
        <f t="shared" si="22"/>
        <v>0</v>
      </c>
    </row>
    <row r="28" spans="1:14" ht="31.5" customHeight="1">
      <c r="A28" s="451"/>
      <c r="B28" s="371" t="str">
        <f>'RRM Pricing Schedule'!B123</f>
        <v>(f)   Handling cost i.r.o. item 36.06(e)</v>
      </c>
      <c r="C28" s="380" t="str">
        <f>'RRM Pricing Schedule'!C123</f>
        <v>%</v>
      </c>
      <c r="D28" s="387">
        <f>'RRM Pricing Schedule'!D123</f>
        <v>250000</v>
      </c>
      <c r="E28" s="734">
        <f>K27</f>
        <v>250000</v>
      </c>
      <c r="F28" s="372">
        <f t="shared" ref="F28" si="25">L27</f>
        <v>0</v>
      </c>
      <c r="G28" s="372">
        <f t="shared" ref="G28" si="26">M27</f>
        <v>0</v>
      </c>
      <c r="H28" s="373">
        <f>F28+G28</f>
        <v>0</v>
      </c>
      <c r="I28" s="462">
        <f>'RRM Pricing Schedule'!E123</f>
        <v>0</v>
      </c>
      <c r="J28" s="372">
        <f t="shared" si="18"/>
        <v>0</v>
      </c>
      <c r="K28" s="372">
        <f t="shared" si="19"/>
        <v>0</v>
      </c>
      <c r="L28" s="372">
        <f t="shared" si="20"/>
        <v>0</v>
      </c>
      <c r="M28" s="372">
        <f t="shared" si="21"/>
        <v>0</v>
      </c>
      <c r="N28" s="373">
        <f t="shared" si="22"/>
        <v>0</v>
      </c>
    </row>
    <row r="29" spans="1:14" ht="31.5" customHeight="1">
      <c r="A29" s="451">
        <f>'RRM Pricing Schedule'!A124</f>
        <v>36.07</v>
      </c>
      <c r="B29" s="371" t="str">
        <f>'RRM Pricing Schedule'!B124</f>
        <v>Market Analysis and Databases</v>
      </c>
      <c r="C29" s="380"/>
      <c r="D29" s="387"/>
      <c r="E29" s="372"/>
      <c r="F29" s="372"/>
      <c r="G29" s="372"/>
      <c r="H29" s="373"/>
      <c r="I29" s="462"/>
      <c r="J29" s="372"/>
      <c r="K29" s="372"/>
      <c r="L29" s="372"/>
      <c r="M29" s="372"/>
      <c r="N29" s="373"/>
    </row>
    <row r="30" spans="1:14" ht="31.5" customHeight="1">
      <c r="A30" s="451"/>
      <c r="B30" s="371" t="str">
        <f>'RRM Pricing Schedule'!B125</f>
        <v>(a)   Market Analysis</v>
      </c>
      <c r="C30" s="380" t="str">
        <f>'RRM Pricing Schedule'!C125</f>
        <v>Lump sum</v>
      </c>
      <c r="D30" s="387">
        <v>1</v>
      </c>
      <c r="E30" s="734">
        <f t="shared" ref="E30" si="27">D30</f>
        <v>1</v>
      </c>
      <c r="F30" s="585">
        <f>DATA!$BM$52</f>
        <v>0</v>
      </c>
      <c r="G30" s="441"/>
      <c r="H30" s="373">
        <f>IF((F30+G30)&gt;E30,"ERROR TOO MUCH",(F30+G30))</f>
        <v>0</v>
      </c>
      <c r="I30" s="452">
        <f>'RRM Pricing Schedule'!F125</f>
        <v>0</v>
      </c>
      <c r="J30" s="372">
        <f>D30*I30</f>
        <v>0</v>
      </c>
      <c r="K30" s="372">
        <f>E30*I30</f>
        <v>0</v>
      </c>
      <c r="L30" s="372">
        <f>F30*I30</f>
        <v>0</v>
      </c>
      <c r="M30" s="372">
        <f>G30*I30</f>
        <v>0</v>
      </c>
      <c r="N30" s="373">
        <f>H30*I30</f>
        <v>0</v>
      </c>
    </row>
    <row r="31" spans="1:14" ht="31.5" customHeight="1">
      <c r="A31" s="516"/>
      <c r="B31" s="371" t="str">
        <f>'RRM Pricing Schedule'!B126</f>
        <v>(b)   Establishment and maintenance of Targeted Enterprise database</v>
      </c>
      <c r="C31" s="380" t="str">
        <f>'RRM Pricing Schedule'!C126</f>
        <v>Month</v>
      </c>
      <c r="D31" s="387">
        <f>'RRM Pricing Schedule'!D126</f>
        <v>64</v>
      </c>
      <c r="E31" s="441">
        <f t="shared" ref="E31:E32" si="28">D31</f>
        <v>64</v>
      </c>
      <c r="F31" s="585">
        <f>DATA!$BN$52</f>
        <v>0</v>
      </c>
      <c r="G31" s="441"/>
      <c r="H31" s="373">
        <f t="shared" ref="H31:H32" si="29">F31+G31</f>
        <v>0</v>
      </c>
      <c r="I31" s="452">
        <f>'RRM Pricing Schedule'!E126</f>
        <v>0</v>
      </c>
      <c r="J31" s="372">
        <f t="shared" ref="J31:J32" si="30">D31*I31</f>
        <v>0</v>
      </c>
      <c r="K31" s="372">
        <f t="shared" ref="K31:K32" si="31">E31*I31</f>
        <v>0</v>
      </c>
      <c r="L31" s="372">
        <f t="shared" ref="L31:L32" si="32">F31*I31</f>
        <v>0</v>
      </c>
      <c r="M31" s="372">
        <f t="shared" ref="M31:M32" si="33">G31*I31</f>
        <v>0</v>
      </c>
      <c r="N31" s="373">
        <f t="shared" ref="N31:N32" si="34">H31*I31</f>
        <v>0</v>
      </c>
    </row>
    <row r="32" spans="1:14" ht="31.5" customHeight="1" thickBot="1">
      <c r="A32" s="516"/>
      <c r="B32" s="371" t="str">
        <f>'RRM Pricing Schedule'!B127</f>
        <v>(c)   Establishment and maintenance of a Targeted Labour database</v>
      </c>
      <c r="C32" s="380" t="str">
        <f>'RRM Pricing Schedule'!C127</f>
        <v>Month</v>
      </c>
      <c r="D32" s="387">
        <f>'RRM Pricing Schedule'!D127</f>
        <v>64</v>
      </c>
      <c r="E32" s="441">
        <f t="shared" si="28"/>
        <v>64</v>
      </c>
      <c r="F32" s="585">
        <f>DATA!$BO$52</f>
        <v>0</v>
      </c>
      <c r="G32" s="441"/>
      <c r="H32" s="373">
        <f t="shared" si="29"/>
        <v>0</v>
      </c>
      <c r="I32" s="452">
        <f>'RRM Pricing Schedule'!E127</f>
        <v>0</v>
      </c>
      <c r="J32" s="372">
        <f t="shared" si="30"/>
        <v>0</v>
      </c>
      <c r="K32" s="372">
        <f t="shared" si="31"/>
        <v>0</v>
      </c>
      <c r="L32" s="372">
        <f t="shared" si="32"/>
        <v>0</v>
      </c>
      <c r="M32" s="372">
        <f t="shared" si="33"/>
        <v>0</v>
      </c>
      <c r="N32" s="373">
        <f t="shared" si="34"/>
        <v>0</v>
      </c>
    </row>
    <row r="33" spans="1:14" ht="31.5" customHeight="1" thickBot="1">
      <c r="A33" s="1500" t="s">
        <v>333</v>
      </c>
      <c r="B33" s="1500"/>
      <c r="C33" s="1500"/>
      <c r="D33" s="435"/>
      <c r="E33" s="436"/>
      <c r="F33" s="436"/>
      <c r="G33" s="436"/>
      <c r="H33" s="437"/>
      <c r="I33" s="435"/>
      <c r="J33" s="439">
        <f>SUM(J8:J32)</f>
        <v>4900500</v>
      </c>
      <c r="K33" s="439">
        <f>SUM(K8:K32)</f>
        <v>4900500</v>
      </c>
      <c r="L33" s="439">
        <f>SUM(L8:L32)</f>
        <v>0</v>
      </c>
      <c r="M33" s="439">
        <f>SUM(M8:M32)</f>
        <v>0</v>
      </c>
      <c r="N33" s="440">
        <f>SUM(N8:N32)</f>
        <v>0</v>
      </c>
    </row>
    <row r="36" spans="1:14" ht="30.9" customHeight="1">
      <c r="A36" s="545" t="s">
        <v>382</v>
      </c>
      <c r="B36" s="545"/>
      <c r="J36" s="455">
        <f>J9+J10+J11+J12+J14+J21+J31+J32</f>
        <v>2800500</v>
      </c>
      <c r="K36" s="455">
        <f t="shared" ref="K36:N36" si="35">K9+K10+K11+K12+K14+K21+K31+K32</f>
        <v>2800500</v>
      </c>
      <c r="L36" s="455">
        <f t="shared" si="35"/>
        <v>0</v>
      </c>
      <c r="M36" s="455">
        <f t="shared" si="35"/>
        <v>0</v>
      </c>
      <c r="N36" s="455">
        <f t="shared" si="35"/>
        <v>0</v>
      </c>
    </row>
    <row r="37" spans="1:14" ht="30.9" customHeight="1">
      <c r="A37" s="364" t="s">
        <v>384</v>
      </c>
      <c r="J37" s="455">
        <f>J16+J17+J19+J20+J23+J24+J25+J26+J27+J28+J30</f>
        <v>1900000</v>
      </c>
      <c r="K37" s="455">
        <f t="shared" ref="K37:N37" si="36">K16+K17+K19+K20+K23+K24+K25+K26+K27+K28+K30</f>
        <v>1900000</v>
      </c>
      <c r="L37" s="455">
        <f t="shared" si="36"/>
        <v>0</v>
      </c>
      <c r="M37" s="455">
        <f t="shared" si="36"/>
        <v>0</v>
      </c>
      <c r="N37" s="455">
        <f t="shared" si="36"/>
        <v>0</v>
      </c>
    </row>
    <row r="38" spans="1:14" ht="30.9" customHeight="1" thickBot="1">
      <c r="A38" s="364" t="s">
        <v>383</v>
      </c>
      <c r="J38" s="517">
        <f>SUM(J36:J37)</f>
        <v>4700500</v>
      </c>
      <c r="K38" s="517">
        <f t="shared" ref="K38:N38" si="37">SUM(K36:K37)</f>
        <v>4700500</v>
      </c>
      <c r="L38" s="517">
        <f t="shared" si="37"/>
        <v>0</v>
      </c>
      <c r="M38" s="517">
        <f t="shared" si="37"/>
        <v>0</v>
      </c>
      <c r="N38" s="517">
        <f t="shared" si="37"/>
        <v>0</v>
      </c>
    </row>
    <row r="39" spans="1:14" ht="13.8" thickTop="1"/>
  </sheetData>
  <mergeCells count="10">
    <mergeCell ref="A33:C33"/>
    <mergeCell ref="A4:H4"/>
    <mergeCell ref="I4:J4"/>
    <mergeCell ref="K4:N4"/>
    <mergeCell ref="A1:H1"/>
    <mergeCell ref="I1:M2"/>
    <mergeCell ref="N1:N2"/>
    <mergeCell ref="A2:H2"/>
    <mergeCell ref="I3:J3"/>
    <mergeCell ref="K3:N3"/>
  </mergeCells>
  <conditionalFormatting sqref="H23">
    <cfRule type="containsText" dxfId="9" priority="6" operator="containsText" text="ERROR">
      <formula>NOT(ISERROR(SEARCH("ERROR",H23)))</formula>
    </cfRule>
  </conditionalFormatting>
  <conditionalFormatting sqref="H30">
    <cfRule type="containsText" dxfId="8" priority="5" operator="containsText" text="ERROR">
      <formula>NOT(ISERROR(SEARCH("ERROR",H30)))</formula>
    </cfRule>
  </conditionalFormatting>
  <conditionalFormatting sqref="H17">
    <cfRule type="containsText" dxfId="7" priority="4" operator="containsText" text="ERROR">
      <formula>NOT(ISERROR(SEARCH("ERROR",H17)))</formula>
    </cfRule>
  </conditionalFormatting>
  <conditionalFormatting sqref="H20">
    <cfRule type="containsText" dxfId="6" priority="3" operator="containsText" text="ERROR">
      <formula>NOT(ISERROR(SEARCH("ERROR",H20)))</formula>
    </cfRule>
  </conditionalFormatting>
  <conditionalFormatting sqref="H26">
    <cfRule type="containsText" dxfId="5" priority="2" operator="containsText" text="ERROR">
      <formula>NOT(ISERROR(SEARCH("ERROR",H26)))</formula>
    </cfRule>
  </conditionalFormatting>
  <conditionalFormatting sqref="H28">
    <cfRule type="containsText" dxfId="4" priority="1" operator="containsText" text="ERROR">
      <formula>NOT(ISERROR(SEARCH("ERROR",H28)))</formula>
    </cfRule>
  </conditionalFormatting>
  <dataValidations count="1">
    <dataValidation type="decimal" operator="lessThanOrEqual" allowBlank="1" showInputMessage="1" showErrorMessage="1" sqref="H23 H30 H17 H20 H26 H28" xr:uid="{00000000-0002-0000-1300-000000000000}">
      <formula1>1</formula1>
    </dataValidation>
  </dataValidations>
  <printOptions horizontalCentered="1"/>
  <pageMargins left="0" right="0" top="0.35433070866141736" bottom="0.15748031496062992" header="0.15748031496062992" footer="0.31496062992125984"/>
  <pageSetup paperSize="9" scale="73" fitToHeight="0" orientation="landscape" r:id="rId1"/>
  <headerFooter alignWithMargins="0">
    <oddHeader>&amp;L&amp;"Calibri"&amp;10&amp;K000000 Sensitivity - General&amp;1#_x000D_</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42">
    <tabColor rgb="FF0070C0"/>
    <pageSetUpPr fitToPage="1"/>
  </sheetPr>
  <dimension ref="A1:N17"/>
  <sheetViews>
    <sheetView zoomScaleNormal="100" workbookViewId="0">
      <selection sqref="A1:E1"/>
    </sheetView>
  </sheetViews>
  <sheetFormatPr defaultRowHeight="13.2"/>
  <cols>
    <col min="1" max="1" width="9.33203125" style="364" bestFit="1" customWidth="1"/>
    <col min="2" max="2" width="36.88671875" style="364" customWidth="1"/>
    <col min="3" max="3" width="19.5546875" style="364" customWidth="1"/>
    <col min="4" max="8" width="11.6640625" style="364" customWidth="1"/>
    <col min="9" max="9" width="12.5546875" style="364" bestFit="1" customWidth="1"/>
    <col min="10" max="11" width="13" style="364" bestFit="1" customWidth="1"/>
    <col min="12" max="12" width="12.44140625" style="364" customWidth="1"/>
    <col min="13" max="13" width="11.44140625" style="364" bestFit="1" customWidth="1"/>
    <col min="14" max="14" width="11.88671875" style="364" bestFit="1" customWidth="1"/>
    <col min="15" max="257" width="9.109375" style="364"/>
    <col min="258" max="258" width="33.44140625" style="364" customWidth="1"/>
    <col min="259" max="265" width="9.109375" style="364"/>
    <col min="266" max="268" width="10.109375" style="364" bestFit="1" customWidth="1"/>
    <col min="269" max="270" width="12.109375" style="364" customWidth="1"/>
    <col min="271" max="513" width="9.109375" style="364"/>
    <col min="514" max="514" width="33.44140625" style="364" customWidth="1"/>
    <col min="515" max="521" width="9.109375" style="364"/>
    <col min="522" max="524" width="10.109375" style="364" bestFit="1" customWidth="1"/>
    <col min="525" max="526" width="12.109375" style="364" customWidth="1"/>
    <col min="527" max="769" width="9.109375" style="364"/>
    <col min="770" max="770" width="33.44140625" style="364" customWidth="1"/>
    <col min="771" max="777" width="9.109375" style="364"/>
    <col min="778" max="780" width="10.109375" style="364" bestFit="1" customWidth="1"/>
    <col min="781" max="782" width="12.109375" style="364" customWidth="1"/>
    <col min="783" max="1025" width="9.109375" style="364"/>
    <col min="1026" max="1026" width="33.44140625" style="364" customWidth="1"/>
    <col min="1027" max="1033" width="9.109375" style="364"/>
    <col min="1034" max="1036" width="10.109375" style="364" bestFit="1" customWidth="1"/>
    <col min="1037" max="1038" width="12.109375" style="364" customWidth="1"/>
    <col min="1039" max="1281" width="9.109375" style="364"/>
    <col min="1282" max="1282" width="33.44140625" style="364" customWidth="1"/>
    <col min="1283" max="1289" width="9.109375" style="364"/>
    <col min="1290" max="1292" width="10.109375" style="364" bestFit="1" customWidth="1"/>
    <col min="1293" max="1294" width="12.109375" style="364" customWidth="1"/>
    <col min="1295" max="1537" width="9.109375" style="364"/>
    <col min="1538" max="1538" width="33.44140625" style="364" customWidth="1"/>
    <col min="1539" max="1545" width="9.109375" style="364"/>
    <col min="1546" max="1548" width="10.109375" style="364" bestFit="1" customWidth="1"/>
    <col min="1549" max="1550" width="12.109375" style="364" customWidth="1"/>
    <col min="1551" max="1793" width="9.109375" style="364"/>
    <col min="1794" max="1794" width="33.44140625" style="364" customWidth="1"/>
    <col min="1795" max="1801" width="9.109375" style="364"/>
    <col min="1802" max="1804" width="10.109375" style="364" bestFit="1" customWidth="1"/>
    <col min="1805" max="1806" width="12.109375" style="364" customWidth="1"/>
    <col min="1807" max="2049" width="9.109375" style="364"/>
    <col min="2050" max="2050" width="33.44140625" style="364" customWidth="1"/>
    <col min="2051" max="2057" width="9.109375" style="364"/>
    <col min="2058" max="2060" width="10.109375" style="364" bestFit="1" customWidth="1"/>
    <col min="2061" max="2062" width="12.109375" style="364" customWidth="1"/>
    <col min="2063" max="2305" width="9.109375" style="364"/>
    <col min="2306" max="2306" width="33.44140625" style="364" customWidth="1"/>
    <col min="2307" max="2313" width="9.109375" style="364"/>
    <col min="2314" max="2316" width="10.109375" style="364" bestFit="1" customWidth="1"/>
    <col min="2317" max="2318" width="12.109375" style="364" customWidth="1"/>
    <col min="2319" max="2561" width="9.109375" style="364"/>
    <col min="2562" max="2562" width="33.44140625" style="364" customWidth="1"/>
    <col min="2563" max="2569" width="9.109375" style="364"/>
    <col min="2570" max="2572" width="10.109375" style="364" bestFit="1" customWidth="1"/>
    <col min="2573" max="2574" width="12.109375" style="364" customWidth="1"/>
    <col min="2575" max="2817" width="9.109375" style="364"/>
    <col min="2818" max="2818" width="33.44140625" style="364" customWidth="1"/>
    <col min="2819" max="2825" width="9.109375" style="364"/>
    <col min="2826" max="2828" width="10.109375" style="364" bestFit="1" customWidth="1"/>
    <col min="2829" max="2830" width="12.109375" style="364" customWidth="1"/>
    <col min="2831" max="3073" width="9.109375" style="364"/>
    <col min="3074" max="3074" width="33.44140625" style="364" customWidth="1"/>
    <col min="3075" max="3081" width="9.109375" style="364"/>
    <col min="3082" max="3084" width="10.109375" style="364" bestFit="1" customWidth="1"/>
    <col min="3085" max="3086" width="12.109375" style="364" customWidth="1"/>
    <col min="3087" max="3329" width="9.109375" style="364"/>
    <col min="3330" max="3330" width="33.44140625" style="364" customWidth="1"/>
    <col min="3331" max="3337" width="9.109375" style="364"/>
    <col min="3338" max="3340" width="10.109375" style="364" bestFit="1" customWidth="1"/>
    <col min="3341" max="3342" width="12.109375" style="364" customWidth="1"/>
    <col min="3343" max="3585" width="9.109375" style="364"/>
    <col min="3586" max="3586" width="33.44140625" style="364" customWidth="1"/>
    <col min="3587" max="3593" width="9.109375" style="364"/>
    <col min="3594" max="3596" width="10.109375" style="364" bestFit="1" customWidth="1"/>
    <col min="3597" max="3598" width="12.109375" style="364" customWidth="1"/>
    <col min="3599" max="3841" width="9.109375" style="364"/>
    <col min="3842" max="3842" width="33.44140625" style="364" customWidth="1"/>
    <col min="3843" max="3849" width="9.109375" style="364"/>
    <col min="3850" max="3852" width="10.109375" style="364" bestFit="1" customWidth="1"/>
    <col min="3853" max="3854" width="12.109375" style="364" customWidth="1"/>
    <col min="3855" max="4097" width="9.109375" style="364"/>
    <col min="4098" max="4098" width="33.44140625" style="364" customWidth="1"/>
    <col min="4099" max="4105" width="9.109375" style="364"/>
    <col min="4106" max="4108" width="10.109375" style="364" bestFit="1" customWidth="1"/>
    <col min="4109" max="4110" width="12.109375" style="364" customWidth="1"/>
    <col min="4111" max="4353" width="9.109375" style="364"/>
    <col min="4354" max="4354" width="33.44140625" style="364" customWidth="1"/>
    <col min="4355" max="4361" width="9.109375" style="364"/>
    <col min="4362" max="4364" width="10.109375" style="364" bestFit="1" customWidth="1"/>
    <col min="4365" max="4366" width="12.109375" style="364" customWidth="1"/>
    <col min="4367" max="4609" width="9.109375" style="364"/>
    <col min="4610" max="4610" width="33.44140625" style="364" customWidth="1"/>
    <col min="4611" max="4617" width="9.109375" style="364"/>
    <col min="4618" max="4620" width="10.109375" style="364" bestFit="1" customWidth="1"/>
    <col min="4621" max="4622" width="12.109375" style="364" customWidth="1"/>
    <col min="4623" max="4865" width="9.109375" style="364"/>
    <col min="4866" max="4866" width="33.44140625" style="364" customWidth="1"/>
    <col min="4867" max="4873" width="9.109375" style="364"/>
    <col min="4874" max="4876" width="10.109375" style="364" bestFit="1" customWidth="1"/>
    <col min="4877" max="4878" width="12.109375" style="364" customWidth="1"/>
    <col min="4879" max="5121" width="9.109375" style="364"/>
    <col min="5122" max="5122" width="33.44140625" style="364" customWidth="1"/>
    <col min="5123" max="5129" width="9.109375" style="364"/>
    <col min="5130" max="5132" width="10.109375" style="364" bestFit="1" customWidth="1"/>
    <col min="5133" max="5134" width="12.109375" style="364" customWidth="1"/>
    <col min="5135" max="5377" width="9.109375" style="364"/>
    <col min="5378" max="5378" width="33.44140625" style="364" customWidth="1"/>
    <col min="5379" max="5385" width="9.109375" style="364"/>
    <col min="5386" max="5388" width="10.109375" style="364" bestFit="1" customWidth="1"/>
    <col min="5389" max="5390" width="12.109375" style="364" customWidth="1"/>
    <col min="5391" max="5633" width="9.109375" style="364"/>
    <col min="5634" max="5634" width="33.44140625" style="364" customWidth="1"/>
    <col min="5635" max="5641" width="9.109375" style="364"/>
    <col min="5642" max="5644" width="10.109375" style="364" bestFit="1" customWidth="1"/>
    <col min="5645" max="5646" width="12.109375" style="364" customWidth="1"/>
    <col min="5647" max="5889" width="9.109375" style="364"/>
    <col min="5890" max="5890" width="33.44140625" style="364" customWidth="1"/>
    <col min="5891" max="5897" width="9.109375" style="364"/>
    <col min="5898" max="5900" width="10.109375" style="364" bestFit="1" customWidth="1"/>
    <col min="5901" max="5902" width="12.109375" style="364" customWidth="1"/>
    <col min="5903" max="6145" width="9.109375" style="364"/>
    <col min="6146" max="6146" width="33.44140625" style="364" customWidth="1"/>
    <col min="6147" max="6153" width="9.109375" style="364"/>
    <col min="6154" max="6156" width="10.109375" style="364" bestFit="1" customWidth="1"/>
    <col min="6157" max="6158" width="12.109375" style="364" customWidth="1"/>
    <col min="6159" max="6401" width="9.109375" style="364"/>
    <col min="6402" max="6402" width="33.44140625" style="364" customWidth="1"/>
    <col min="6403" max="6409" width="9.109375" style="364"/>
    <col min="6410" max="6412" width="10.109375" style="364" bestFit="1" customWidth="1"/>
    <col min="6413" max="6414" width="12.109375" style="364" customWidth="1"/>
    <col min="6415" max="6657" width="9.109375" style="364"/>
    <col min="6658" max="6658" width="33.44140625" style="364" customWidth="1"/>
    <col min="6659" max="6665" width="9.109375" style="364"/>
    <col min="6666" max="6668" width="10.109375" style="364" bestFit="1" customWidth="1"/>
    <col min="6669" max="6670" width="12.109375" style="364" customWidth="1"/>
    <col min="6671" max="6913" width="9.109375" style="364"/>
    <col min="6914" max="6914" width="33.44140625" style="364" customWidth="1"/>
    <col min="6915" max="6921" width="9.109375" style="364"/>
    <col min="6922" max="6924" width="10.109375" style="364" bestFit="1" customWidth="1"/>
    <col min="6925" max="6926" width="12.109375" style="364" customWidth="1"/>
    <col min="6927" max="7169" width="9.109375" style="364"/>
    <col min="7170" max="7170" width="33.44140625" style="364" customWidth="1"/>
    <col min="7171" max="7177" width="9.109375" style="364"/>
    <col min="7178" max="7180" width="10.109375" style="364" bestFit="1" customWidth="1"/>
    <col min="7181" max="7182" width="12.109375" style="364" customWidth="1"/>
    <col min="7183" max="7425" width="9.109375" style="364"/>
    <col min="7426" max="7426" width="33.44140625" style="364" customWidth="1"/>
    <col min="7427" max="7433" width="9.109375" style="364"/>
    <col min="7434" max="7436" width="10.109375" style="364" bestFit="1" customWidth="1"/>
    <col min="7437" max="7438" width="12.109375" style="364" customWidth="1"/>
    <col min="7439" max="7681" width="9.109375" style="364"/>
    <col min="7682" max="7682" width="33.44140625" style="364" customWidth="1"/>
    <col min="7683" max="7689" width="9.109375" style="364"/>
    <col min="7690" max="7692" width="10.109375" style="364" bestFit="1" customWidth="1"/>
    <col min="7693" max="7694" width="12.109375" style="364" customWidth="1"/>
    <col min="7695" max="7937" width="9.109375" style="364"/>
    <col min="7938" max="7938" width="33.44140625" style="364" customWidth="1"/>
    <col min="7939" max="7945" width="9.109375" style="364"/>
    <col min="7946" max="7948" width="10.109375" style="364" bestFit="1" customWidth="1"/>
    <col min="7949" max="7950" width="12.109375" style="364" customWidth="1"/>
    <col min="7951" max="8193" width="9.109375" style="364"/>
    <col min="8194" max="8194" width="33.44140625" style="364" customWidth="1"/>
    <col min="8195" max="8201" width="9.109375" style="364"/>
    <col min="8202" max="8204" width="10.109375" style="364" bestFit="1" customWidth="1"/>
    <col min="8205" max="8206" width="12.109375" style="364" customWidth="1"/>
    <col min="8207" max="8449" width="9.109375" style="364"/>
    <col min="8450" max="8450" width="33.44140625" style="364" customWidth="1"/>
    <col min="8451" max="8457" width="9.109375" style="364"/>
    <col min="8458" max="8460" width="10.109375" style="364" bestFit="1" customWidth="1"/>
    <col min="8461" max="8462" width="12.109375" style="364" customWidth="1"/>
    <col min="8463" max="8705" width="9.109375" style="364"/>
    <col min="8706" max="8706" width="33.44140625" style="364" customWidth="1"/>
    <col min="8707" max="8713" width="9.109375" style="364"/>
    <col min="8714" max="8716" width="10.109375" style="364" bestFit="1" customWidth="1"/>
    <col min="8717" max="8718" width="12.109375" style="364" customWidth="1"/>
    <col min="8719" max="8961" width="9.109375" style="364"/>
    <col min="8962" max="8962" width="33.44140625" style="364" customWidth="1"/>
    <col min="8963" max="8969" width="9.109375" style="364"/>
    <col min="8970" max="8972" width="10.109375" style="364" bestFit="1" customWidth="1"/>
    <col min="8973" max="8974" width="12.109375" style="364" customWidth="1"/>
    <col min="8975" max="9217" width="9.109375" style="364"/>
    <col min="9218" max="9218" width="33.44140625" style="364" customWidth="1"/>
    <col min="9219" max="9225" width="9.109375" style="364"/>
    <col min="9226" max="9228" width="10.109375" style="364" bestFit="1" customWidth="1"/>
    <col min="9229" max="9230" width="12.109375" style="364" customWidth="1"/>
    <col min="9231" max="9473" width="9.109375" style="364"/>
    <col min="9474" max="9474" width="33.44140625" style="364" customWidth="1"/>
    <col min="9475" max="9481" width="9.109375" style="364"/>
    <col min="9482" max="9484" width="10.109375" style="364" bestFit="1" customWidth="1"/>
    <col min="9485" max="9486" width="12.109375" style="364" customWidth="1"/>
    <col min="9487" max="9729" width="9.109375" style="364"/>
    <col min="9730" max="9730" width="33.44140625" style="364" customWidth="1"/>
    <col min="9731" max="9737" width="9.109375" style="364"/>
    <col min="9738" max="9740" width="10.109375" style="364" bestFit="1" customWidth="1"/>
    <col min="9741" max="9742" width="12.109375" style="364" customWidth="1"/>
    <col min="9743" max="9985" width="9.109375" style="364"/>
    <col min="9986" max="9986" width="33.44140625" style="364" customWidth="1"/>
    <col min="9987" max="9993" width="9.109375" style="364"/>
    <col min="9994" max="9996" width="10.109375" style="364" bestFit="1" customWidth="1"/>
    <col min="9997" max="9998" width="12.109375" style="364" customWidth="1"/>
    <col min="9999" max="10241" width="9.109375" style="364"/>
    <col min="10242" max="10242" width="33.44140625" style="364" customWidth="1"/>
    <col min="10243" max="10249" width="9.109375" style="364"/>
    <col min="10250" max="10252" width="10.109375" style="364" bestFit="1" customWidth="1"/>
    <col min="10253" max="10254" width="12.109375" style="364" customWidth="1"/>
    <col min="10255" max="10497" width="9.109375" style="364"/>
    <col min="10498" max="10498" width="33.44140625" style="364" customWidth="1"/>
    <col min="10499" max="10505" width="9.109375" style="364"/>
    <col min="10506" max="10508" width="10.109375" style="364" bestFit="1" customWidth="1"/>
    <col min="10509" max="10510" width="12.109375" style="364" customWidth="1"/>
    <col min="10511" max="10753" width="9.109375" style="364"/>
    <col min="10754" max="10754" width="33.44140625" style="364" customWidth="1"/>
    <col min="10755" max="10761" width="9.109375" style="364"/>
    <col min="10762" max="10764" width="10.109375" style="364" bestFit="1" customWidth="1"/>
    <col min="10765" max="10766" width="12.109375" style="364" customWidth="1"/>
    <col min="10767" max="11009" width="9.109375" style="364"/>
    <col min="11010" max="11010" width="33.44140625" style="364" customWidth="1"/>
    <col min="11011" max="11017" width="9.109375" style="364"/>
    <col min="11018" max="11020" width="10.109375" style="364" bestFit="1" customWidth="1"/>
    <col min="11021" max="11022" width="12.109375" style="364" customWidth="1"/>
    <col min="11023" max="11265" width="9.109375" style="364"/>
    <col min="11266" max="11266" width="33.44140625" style="364" customWidth="1"/>
    <col min="11267" max="11273" width="9.109375" style="364"/>
    <col min="11274" max="11276" width="10.109375" style="364" bestFit="1" customWidth="1"/>
    <col min="11277" max="11278" width="12.109375" style="364" customWidth="1"/>
    <col min="11279" max="11521" width="9.109375" style="364"/>
    <col min="11522" max="11522" width="33.44140625" style="364" customWidth="1"/>
    <col min="11523" max="11529" width="9.109375" style="364"/>
    <col min="11530" max="11532" width="10.109375" style="364" bestFit="1" customWidth="1"/>
    <col min="11533" max="11534" width="12.109375" style="364" customWidth="1"/>
    <col min="11535" max="11777" width="9.109375" style="364"/>
    <col min="11778" max="11778" width="33.44140625" style="364" customWidth="1"/>
    <col min="11779" max="11785" width="9.109375" style="364"/>
    <col min="11786" max="11788" width="10.109375" style="364" bestFit="1" customWidth="1"/>
    <col min="11789" max="11790" width="12.109375" style="364" customWidth="1"/>
    <col min="11791" max="12033" width="9.109375" style="364"/>
    <col min="12034" max="12034" width="33.44140625" style="364" customWidth="1"/>
    <col min="12035" max="12041" width="9.109375" style="364"/>
    <col min="12042" max="12044" width="10.109375" style="364" bestFit="1" customWidth="1"/>
    <col min="12045" max="12046" width="12.109375" style="364" customWidth="1"/>
    <col min="12047" max="12289" width="9.109375" style="364"/>
    <col min="12290" max="12290" width="33.44140625" style="364" customWidth="1"/>
    <col min="12291" max="12297" width="9.109375" style="364"/>
    <col min="12298" max="12300" width="10.109375" style="364" bestFit="1" customWidth="1"/>
    <col min="12301" max="12302" width="12.109375" style="364" customWidth="1"/>
    <col min="12303" max="12545" width="9.109375" style="364"/>
    <col min="12546" max="12546" width="33.44140625" style="364" customWidth="1"/>
    <col min="12547" max="12553" width="9.109375" style="364"/>
    <col min="12554" max="12556" width="10.109375" style="364" bestFit="1" customWidth="1"/>
    <col min="12557" max="12558" width="12.109375" style="364" customWidth="1"/>
    <col min="12559" max="12801" width="9.109375" style="364"/>
    <col min="12802" max="12802" width="33.44140625" style="364" customWidth="1"/>
    <col min="12803" max="12809" width="9.109375" style="364"/>
    <col min="12810" max="12812" width="10.109375" style="364" bestFit="1" customWidth="1"/>
    <col min="12813" max="12814" width="12.109375" style="364" customWidth="1"/>
    <col min="12815" max="13057" width="9.109375" style="364"/>
    <col min="13058" max="13058" width="33.44140625" style="364" customWidth="1"/>
    <col min="13059" max="13065" width="9.109375" style="364"/>
    <col min="13066" max="13068" width="10.109375" style="364" bestFit="1" customWidth="1"/>
    <col min="13069" max="13070" width="12.109375" style="364" customWidth="1"/>
    <col min="13071" max="13313" width="9.109375" style="364"/>
    <col min="13314" max="13314" width="33.44140625" style="364" customWidth="1"/>
    <col min="13315" max="13321" width="9.109375" style="364"/>
    <col min="13322" max="13324" width="10.109375" style="364" bestFit="1" customWidth="1"/>
    <col min="13325" max="13326" width="12.109375" style="364" customWidth="1"/>
    <col min="13327" max="13569" width="9.109375" style="364"/>
    <col min="13570" max="13570" width="33.44140625" style="364" customWidth="1"/>
    <col min="13571" max="13577" width="9.109375" style="364"/>
    <col min="13578" max="13580" width="10.109375" style="364" bestFit="1" customWidth="1"/>
    <col min="13581" max="13582" width="12.109375" style="364" customWidth="1"/>
    <col min="13583" max="13825" width="9.109375" style="364"/>
    <col min="13826" max="13826" width="33.44140625" style="364" customWidth="1"/>
    <col min="13827" max="13833" width="9.109375" style="364"/>
    <col min="13834" max="13836" width="10.109375" style="364" bestFit="1" customWidth="1"/>
    <col min="13837" max="13838" width="12.109375" style="364" customWidth="1"/>
    <col min="13839" max="14081" width="9.109375" style="364"/>
    <col min="14082" max="14082" width="33.44140625" style="364" customWidth="1"/>
    <col min="14083" max="14089" width="9.109375" style="364"/>
    <col min="14090" max="14092" width="10.109375" style="364" bestFit="1" customWidth="1"/>
    <col min="14093" max="14094" width="12.109375" style="364" customWidth="1"/>
    <col min="14095" max="14337" width="9.109375" style="364"/>
    <col min="14338" max="14338" width="33.44140625" style="364" customWidth="1"/>
    <col min="14339" max="14345" width="9.109375" style="364"/>
    <col min="14346" max="14348" width="10.109375" style="364" bestFit="1" customWidth="1"/>
    <col min="14349" max="14350" width="12.109375" style="364" customWidth="1"/>
    <col min="14351" max="14593" width="9.109375" style="364"/>
    <col min="14594" max="14594" width="33.44140625" style="364" customWidth="1"/>
    <col min="14595" max="14601" width="9.109375" style="364"/>
    <col min="14602" max="14604" width="10.109375" style="364" bestFit="1" customWidth="1"/>
    <col min="14605" max="14606" width="12.109375" style="364" customWidth="1"/>
    <col min="14607" max="14849" width="9.109375" style="364"/>
    <col min="14850" max="14850" width="33.44140625" style="364" customWidth="1"/>
    <col min="14851" max="14857" width="9.109375" style="364"/>
    <col min="14858" max="14860" width="10.109375" style="364" bestFit="1" customWidth="1"/>
    <col min="14861" max="14862" width="12.109375" style="364" customWidth="1"/>
    <col min="14863" max="15105" width="9.109375" style="364"/>
    <col min="15106" max="15106" width="33.44140625" style="364" customWidth="1"/>
    <col min="15107" max="15113" width="9.109375" style="364"/>
    <col min="15114" max="15116" width="10.109375" style="364" bestFit="1" customWidth="1"/>
    <col min="15117" max="15118" width="12.109375" style="364" customWidth="1"/>
    <col min="15119" max="15361" width="9.109375" style="364"/>
    <col min="15362" max="15362" width="33.44140625" style="364" customWidth="1"/>
    <col min="15363" max="15369" width="9.109375" style="364"/>
    <col min="15370" max="15372" width="10.109375" style="364" bestFit="1" customWidth="1"/>
    <col min="15373" max="15374" width="12.109375" style="364" customWidth="1"/>
    <col min="15375" max="15617" width="9.109375" style="364"/>
    <col min="15618" max="15618" width="33.44140625" style="364" customWidth="1"/>
    <col min="15619" max="15625" width="9.109375" style="364"/>
    <col min="15626" max="15628" width="10.109375" style="364" bestFit="1" customWidth="1"/>
    <col min="15629" max="15630" width="12.109375" style="364" customWidth="1"/>
    <col min="15631" max="15873" width="9.109375" style="364"/>
    <col min="15874" max="15874" width="33.44140625" style="364" customWidth="1"/>
    <col min="15875" max="15881" width="9.109375" style="364"/>
    <col min="15882" max="15884" width="10.109375" style="364" bestFit="1" customWidth="1"/>
    <col min="15885" max="15886" width="12.109375" style="364" customWidth="1"/>
    <col min="15887" max="16129" width="9.109375" style="364"/>
    <col min="16130" max="16130" width="33.44140625" style="364" customWidth="1"/>
    <col min="16131" max="16137" width="9.109375" style="364"/>
    <col min="16138" max="16140" width="10.109375" style="364" bestFit="1" customWidth="1"/>
    <col min="16141" max="16142" width="12.109375" style="364" customWidth="1"/>
    <col min="16143" max="16384" width="9.109375" style="364"/>
  </cols>
  <sheetData>
    <row r="1" spans="1:14" ht="12.75" customHeight="1">
      <c r="A1" s="1546" t="s">
        <v>334</v>
      </c>
      <c r="B1" s="1525"/>
      <c r="C1" s="1525"/>
      <c r="D1" s="1525"/>
      <c r="E1" s="1525"/>
      <c r="F1" s="1525"/>
      <c r="G1" s="1525"/>
      <c r="H1" s="1526"/>
      <c r="I1" s="1527" t="s">
        <v>319</v>
      </c>
      <c r="J1" s="1528"/>
      <c r="K1" s="1528"/>
      <c r="L1" s="1528"/>
      <c r="M1" s="1528"/>
      <c r="N1" s="1531">
        <f>'F1  Cover'!A24</f>
        <v>3700</v>
      </c>
    </row>
    <row r="2" spans="1:14">
      <c r="A2" s="1547"/>
      <c r="B2" s="1534"/>
      <c r="C2" s="1534"/>
      <c r="D2" s="1534"/>
      <c r="E2" s="1534"/>
      <c r="F2" s="1534"/>
      <c r="G2" s="1534"/>
      <c r="H2" s="1534"/>
      <c r="I2" s="1529"/>
      <c r="J2" s="1530"/>
      <c r="K2" s="1530"/>
      <c r="L2" s="1530"/>
      <c r="M2" s="1530"/>
      <c r="N2" s="1532"/>
    </row>
    <row r="3" spans="1:14">
      <c r="A3" s="464" t="s">
        <v>445</v>
      </c>
      <c r="B3" s="463" t="str">
        <f>'F1 Forecast Consultant'!C3</f>
        <v>WESTERN</v>
      </c>
      <c r="I3" s="1535" t="s">
        <v>320</v>
      </c>
      <c r="J3" s="1536"/>
      <c r="K3" s="1518">
        <f>'F1  Cover'!K8</f>
        <v>1</v>
      </c>
      <c r="L3" s="1519"/>
      <c r="M3" s="1519"/>
      <c r="N3" s="1520"/>
    </row>
    <row r="4" spans="1:14" ht="13.8" thickBot="1">
      <c r="A4" s="1548"/>
      <c r="B4" s="1538"/>
      <c r="C4" s="1538"/>
      <c r="D4" s="1538"/>
      <c r="E4" s="1538"/>
      <c r="F4" s="1538"/>
      <c r="G4" s="1538"/>
      <c r="H4" s="1538"/>
      <c r="I4" s="1539" t="s">
        <v>321</v>
      </c>
      <c r="J4" s="1540"/>
      <c r="K4" s="1541" t="str">
        <f>'F1 Forecast Combined'!E3</f>
        <v>X.002-180-2024/1RF</v>
      </c>
      <c r="L4" s="1541"/>
      <c r="M4" s="1541"/>
      <c r="N4" s="1542"/>
    </row>
    <row r="5" spans="1:14" ht="13.8" thickBot="1">
      <c r="A5" s="442" t="s">
        <v>322</v>
      </c>
      <c r="B5" s="443"/>
      <c r="C5" s="443"/>
      <c r="D5" s="443"/>
      <c r="E5" s="443"/>
      <c r="F5" s="443"/>
      <c r="G5" s="443"/>
      <c r="H5" s="443"/>
      <c r="I5" s="443"/>
      <c r="J5" s="443"/>
      <c r="K5" s="443"/>
      <c r="L5" s="443"/>
      <c r="M5" s="443"/>
      <c r="N5" s="444"/>
    </row>
    <row r="6" spans="1:14" ht="40.200000000000003" thickBot="1">
      <c r="A6" s="445" t="s">
        <v>93</v>
      </c>
      <c r="B6" s="470" t="s">
        <v>0</v>
      </c>
      <c r="C6" s="437" t="s">
        <v>1</v>
      </c>
      <c r="D6" s="435" t="s">
        <v>323</v>
      </c>
      <c r="E6" s="436" t="s">
        <v>324</v>
      </c>
      <c r="F6" s="436" t="s">
        <v>325</v>
      </c>
      <c r="G6" s="436" t="s">
        <v>326</v>
      </c>
      <c r="H6" s="437" t="s">
        <v>327</v>
      </c>
      <c r="I6" s="435" t="s">
        <v>3</v>
      </c>
      <c r="J6" s="436" t="s">
        <v>328</v>
      </c>
      <c r="K6" s="436" t="s">
        <v>329</v>
      </c>
      <c r="L6" s="436" t="s">
        <v>330</v>
      </c>
      <c r="M6" s="436" t="s">
        <v>331</v>
      </c>
      <c r="N6" s="437" t="s">
        <v>332</v>
      </c>
    </row>
    <row r="7" spans="1:14" ht="39" customHeight="1">
      <c r="A7" s="366">
        <f>'RRM Pricing Schedule'!A131</f>
        <v>3700</v>
      </c>
      <c r="B7" s="367" t="str">
        <f>'RRM Pricing Schedule'!B131</f>
        <v>OFF-SITE MATERIALS TESTING</v>
      </c>
      <c r="C7" s="379"/>
      <c r="D7" s="385"/>
      <c r="E7" s="368"/>
      <c r="F7" s="368"/>
      <c r="G7" s="368"/>
      <c r="H7" s="386"/>
      <c r="I7" s="449"/>
      <c r="J7" s="368"/>
      <c r="K7" s="368"/>
      <c r="L7" s="368"/>
      <c r="M7" s="368"/>
      <c r="N7" s="450"/>
    </row>
    <row r="8" spans="1:14" ht="31.5" customHeight="1">
      <c r="A8" s="451">
        <f>'RRM Pricing Schedule'!A132</f>
        <v>37.01</v>
      </c>
      <c r="B8" s="371" t="str">
        <f>'RRM Pricing Schedule'!B132</f>
        <v>Off-site materials testing</v>
      </c>
      <c r="C8" s="380"/>
      <c r="D8" s="387"/>
      <c r="E8" s="372"/>
      <c r="F8" s="372"/>
      <c r="G8" s="372"/>
      <c r="H8" s="373"/>
      <c r="I8" s="452"/>
      <c r="J8" s="372"/>
      <c r="K8" s="372"/>
      <c r="L8" s="372"/>
      <c r="M8" s="372"/>
      <c r="N8" s="453"/>
    </row>
    <row r="9" spans="1:14" ht="31.5" customHeight="1">
      <c r="A9" s="451"/>
      <c r="B9" s="371" t="str">
        <f>'RRM Pricing Schedule'!B133</f>
        <v>(a)   Off-site testing by an external SANAS accredited laboratory</v>
      </c>
      <c r="C9" s="371" t="str">
        <f>'RRM Pricing Schedule'!C133</f>
        <v>Prime cost</v>
      </c>
      <c r="D9" s="387">
        <v>1</v>
      </c>
      <c r="E9" s="441">
        <f>D9</f>
        <v>1</v>
      </c>
      <c r="F9" s="585">
        <f>DATA!$BP$52</f>
        <v>0</v>
      </c>
      <c r="G9" s="584">
        <f>'Pg 4 P Sums'!K254-F9</f>
        <v>0</v>
      </c>
      <c r="H9" s="373">
        <f>F9+G9</f>
        <v>0</v>
      </c>
      <c r="I9" s="452">
        <f>'RRM Pricing Schedule'!F133</f>
        <v>200000</v>
      </c>
      <c r="J9" s="372">
        <f>D9*I9</f>
        <v>200000</v>
      </c>
      <c r="K9" s="372">
        <f>E9*I9</f>
        <v>200000</v>
      </c>
      <c r="L9" s="372">
        <f>F9*I9</f>
        <v>0</v>
      </c>
      <c r="M9" s="372">
        <f>G9*I9</f>
        <v>0</v>
      </c>
      <c r="N9" s="373">
        <f>H9*I9</f>
        <v>0</v>
      </c>
    </row>
    <row r="10" spans="1:14" ht="31.5" customHeight="1" thickBot="1">
      <c r="A10" s="451"/>
      <c r="B10" s="371" t="str">
        <f>'RRM Pricing Schedule'!B134</f>
        <v>(b)   Handling cost i.r.o. item 37.01(a)</v>
      </c>
      <c r="C10" s="371" t="str">
        <f>'RRM Pricing Schedule'!C134</f>
        <v>%</v>
      </c>
      <c r="D10" s="387">
        <f>'RRM Pricing Schedule'!D134</f>
        <v>200000</v>
      </c>
      <c r="E10" s="734">
        <f>K9</f>
        <v>200000</v>
      </c>
      <c r="F10" s="372">
        <f t="shared" ref="F10:G10" si="0">L9</f>
        <v>0</v>
      </c>
      <c r="G10" s="734">
        <f t="shared" si="0"/>
        <v>0</v>
      </c>
      <c r="H10" s="373">
        <f>F10+G10</f>
        <v>0</v>
      </c>
      <c r="I10" s="462">
        <f>'RRM Pricing Schedule'!E134</f>
        <v>0</v>
      </c>
      <c r="J10" s="372">
        <f>D10*I10</f>
        <v>0</v>
      </c>
      <c r="K10" s="372">
        <f>E10*I10</f>
        <v>0</v>
      </c>
      <c r="L10" s="372">
        <f>F10*I10</f>
        <v>0</v>
      </c>
      <c r="M10" s="372">
        <f>G10*I10</f>
        <v>0</v>
      </c>
      <c r="N10" s="373">
        <f>H10*I10</f>
        <v>0</v>
      </c>
    </row>
    <row r="11" spans="1:14" ht="31.5" customHeight="1" thickBot="1">
      <c r="A11" s="1500" t="s">
        <v>333</v>
      </c>
      <c r="B11" s="1500"/>
      <c r="C11" s="1500"/>
      <c r="D11" s="435"/>
      <c r="E11" s="436"/>
      <c r="F11" s="436"/>
      <c r="G11" s="436"/>
      <c r="H11" s="437"/>
      <c r="I11" s="435"/>
      <c r="J11" s="439">
        <f>SUM(J9:J10)</f>
        <v>200000</v>
      </c>
      <c r="K11" s="439">
        <f>SUM(K9:K10)</f>
        <v>200000</v>
      </c>
      <c r="L11" s="439">
        <f>SUM(L9:L10)</f>
        <v>0</v>
      </c>
      <c r="M11" s="439">
        <f>SUM(M9:M10)</f>
        <v>0</v>
      </c>
      <c r="N11" s="440">
        <f>SUM(N9:N10)</f>
        <v>0</v>
      </c>
    </row>
    <row r="14" spans="1:14" ht="30.9" customHeight="1">
      <c r="A14" s="545" t="s">
        <v>382</v>
      </c>
      <c r="B14" s="545"/>
      <c r="J14" s="455">
        <v>0</v>
      </c>
      <c r="K14" s="455">
        <v>0</v>
      </c>
      <c r="L14" s="455">
        <v>0</v>
      </c>
      <c r="M14" s="455">
        <v>0</v>
      </c>
      <c r="N14" s="455">
        <v>0</v>
      </c>
    </row>
    <row r="15" spans="1:14" ht="30.9" customHeight="1">
      <c r="A15" s="364" t="s">
        <v>384</v>
      </c>
      <c r="J15" s="455">
        <f>J9+J10</f>
        <v>200000</v>
      </c>
      <c r="K15" s="455">
        <f t="shared" ref="K15:N15" si="1">K9+K10</f>
        <v>200000</v>
      </c>
      <c r="L15" s="455">
        <f t="shared" si="1"/>
        <v>0</v>
      </c>
      <c r="M15" s="455">
        <f t="shared" si="1"/>
        <v>0</v>
      </c>
      <c r="N15" s="455">
        <f t="shared" si="1"/>
        <v>0</v>
      </c>
    </row>
    <row r="16" spans="1:14" ht="30.9" customHeight="1" thickBot="1">
      <c r="A16" s="364" t="s">
        <v>383</v>
      </c>
      <c r="J16" s="517">
        <f>SUM(J14:J15)</f>
        <v>200000</v>
      </c>
      <c r="K16" s="517">
        <f t="shared" ref="K16:N16" si="2">SUM(K14:K15)</f>
        <v>200000</v>
      </c>
      <c r="L16" s="517">
        <f t="shared" si="2"/>
        <v>0</v>
      </c>
      <c r="M16" s="517">
        <f t="shared" si="2"/>
        <v>0</v>
      </c>
      <c r="N16" s="517">
        <f t="shared" si="2"/>
        <v>0</v>
      </c>
    </row>
    <row r="17" ht="13.8" thickTop="1"/>
  </sheetData>
  <mergeCells count="10">
    <mergeCell ref="A4:H4"/>
    <mergeCell ref="I4:J4"/>
    <mergeCell ref="K4:N4"/>
    <mergeCell ref="A11:C11"/>
    <mergeCell ref="A1:H1"/>
    <mergeCell ref="I1:M2"/>
    <mergeCell ref="N1:N2"/>
    <mergeCell ref="A2:H2"/>
    <mergeCell ref="I3:J3"/>
    <mergeCell ref="K3:N3"/>
  </mergeCells>
  <conditionalFormatting sqref="H10">
    <cfRule type="containsText" dxfId="3" priority="1" operator="containsText" text="ERROR">
      <formula>NOT(ISERROR(SEARCH("ERROR",H10)))</formula>
    </cfRule>
  </conditionalFormatting>
  <dataValidations count="1">
    <dataValidation type="decimal" operator="lessThanOrEqual" allowBlank="1" showInputMessage="1" showErrorMessage="1" sqref="H10" xr:uid="{00000000-0002-0000-1400-000000000000}">
      <formula1>1</formula1>
    </dataValidation>
  </dataValidations>
  <pageMargins left="0" right="0" top="0.35" bottom="0.17" header="0.17" footer="0.35"/>
  <pageSetup paperSize="9" scale="72" fitToHeight="0" orientation="landscape" r:id="rId1"/>
  <headerFooter alignWithMargins="0">
    <oddHeader>&amp;L&amp;"Calibri"&amp;10&amp;K000000 Sensitivity - General&amp;1#_x000D_</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8E9B8-E89A-407A-A501-26FEFFEF97A0}">
  <sheetPr codeName="Sheet43">
    <tabColor rgb="FF0070C0"/>
    <pageSetUpPr fitToPage="1"/>
  </sheetPr>
  <dimension ref="A1:N17"/>
  <sheetViews>
    <sheetView zoomScaleNormal="100" workbookViewId="0">
      <selection sqref="A1:E1"/>
    </sheetView>
  </sheetViews>
  <sheetFormatPr defaultRowHeight="13.2"/>
  <cols>
    <col min="1" max="1" width="9.33203125" style="364" bestFit="1" customWidth="1"/>
    <col min="2" max="2" width="36.88671875" style="364" customWidth="1"/>
    <col min="3" max="3" width="19.5546875" style="364" customWidth="1"/>
    <col min="4" max="8" width="11.6640625" style="364" customWidth="1"/>
    <col min="9" max="9" width="12.5546875" style="364" bestFit="1" customWidth="1"/>
    <col min="10" max="11" width="13" style="364" bestFit="1" customWidth="1"/>
    <col min="12" max="12" width="12.44140625" style="364" customWidth="1"/>
    <col min="13" max="13" width="11.44140625" style="364" bestFit="1" customWidth="1"/>
    <col min="14" max="14" width="11.88671875" style="364" bestFit="1" customWidth="1"/>
    <col min="15" max="257" width="8.88671875" style="364"/>
    <col min="258" max="258" width="33.44140625" style="364" customWidth="1"/>
    <col min="259" max="265" width="8.88671875" style="364"/>
    <col min="266" max="268" width="10.109375" style="364" bestFit="1" customWidth="1"/>
    <col min="269" max="270" width="12.109375" style="364" customWidth="1"/>
    <col min="271" max="513" width="8.88671875" style="364"/>
    <col min="514" max="514" width="33.44140625" style="364" customWidth="1"/>
    <col min="515" max="521" width="8.88671875" style="364"/>
    <col min="522" max="524" width="10.109375" style="364" bestFit="1" customWidth="1"/>
    <col min="525" max="526" width="12.109375" style="364" customWidth="1"/>
    <col min="527" max="769" width="8.88671875" style="364"/>
    <col min="770" max="770" width="33.44140625" style="364" customWidth="1"/>
    <col min="771" max="777" width="8.88671875" style="364"/>
    <col min="778" max="780" width="10.109375" style="364" bestFit="1" customWidth="1"/>
    <col min="781" max="782" width="12.109375" style="364" customWidth="1"/>
    <col min="783" max="1025" width="8.88671875" style="364"/>
    <col min="1026" max="1026" width="33.44140625" style="364" customWidth="1"/>
    <col min="1027" max="1033" width="8.88671875" style="364"/>
    <col min="1034" max="1036" width="10.109375" style="364" bestFit="1" customWidth="1"/>
    <col min="1037" max="1038" width="12.109375" style="364" customWidth="1"/>
    <col min="1039" max="1281" width="8.88671875" style="364"/>
    <col min="1282" max="1282" width="33.44140625" style="364" customWidth="1"/>
    <col min="1283" max="1289" width="8.88671875" style="364"/>
    <col min="1290" max="1292" width="10.109375" style="364" bestFit="1" customWidth="1"/>
    <col min="1293" max="1294" width="12.109375" style="364" customWidth="1"/>
    <col min="1295" max="1537" width="8.88671875" style="364"/>
    <col min="1538" max="1538" width="33.44140625" style="364" customWidth="1"/>
    <col min="1539" max="1545" width="8.88671875" style="364"/>
    <col min="1546" max="1548" width="10.109375" style="364" bestFit="1" customWidth="1"/>
    <col min="1549" max="1550" width="12.109375" style="364" customWidth="1"/>
    <col min="1551" max="1793" width="8.88671875" style="364"/>
    <col min="1794" max="1794" width="33.44140625" style="364" customWidth="1"/>
    <col min="1795" max="1801" width="8.88671875" style="364"/>
    <col min="1802" max="1804" width="10.109375" style="364" bestFit="1" customWidth="1"/>
    <col min="1805" max="1806" width="12.109375" style="364" customWidth="1"/>
    <col min="1807" max="2049" width="8.88671875" style="364"/>
    <col min="2050" max="2050" width="33.44140625" style="364" customWidth="1"/>
    <col min="2051" max="2057" width="8.88671875" style="364"/>
    <col min="2058" max="2060" width="10.109375" style="364" bestFit="1" customWidth="1"/>
    <col min="2061" max="2062" width="12.109375" style="364" customWidth="1"/>
    <col min="2063" max="2305" width="8.88671875" style="364"/>
    <col min="2306" max="2306" width="33.44140625" style="364" customWidth="1"/>
    <col min="2307" max="2313" width="8.88671875" style="364"/>
    <col min="2314" max="2316" width="10.109375" style="364" bestFit="1" customWidth="1"/>
    <col min="2317" max="2318" width="12.109375" style="364" customWidth="1"/>
    <col min="2319" max="2561" width="8.88671875" style="364"/>
    <col min="2562" max="2562" width="33.44140625" style="364" customWidth="1"/>
    <col min="2563" max="2569" width="8.88671875" style="364"/>
    <col min="2570" max="2572" width="10.109375" style="364" bestFit="1" customWidth="1"/>
    <col min="2573" max="2574" width="12.109375" style="364" customWidth="1"/>
    <col min="2575" max="2817" width="8.88671875" style="364"/>
    <col min="2818" max="2818" width="33.44140625" style="364" customWidth="1"/>
    <col min="2819" max="2825" width="8.88671875" style="364"/>
    <col min="2826" max="2828" width="10.109375" style="364" bestFit="1" customWidth="1"/>
    <col min="2829" max="2830" width="12.109375" style="364" customWidth="1"/>
    <col min="2831" max="3073" width="8.88671875" style="364"/>
    <col min="3074" max="3074" width="33.44140625" style="364" customWidth="1"/>
    <col min="3075" max="3081" width="8.88671875" style="364"/>
    <col min="3082" max="3084" width="10.109375" style="364" bestFit="1" customWidth="1"/>
    <col min="3085" max="3086" width="12.109375" style="364" customWidth="1"/>
    <col min="3087" max="3329" width="8.88671875" style="364"/>
    <col min="3330" max="3330" width="33.44140625" style="364" customWidth="1"/>
    <col min="3331" max="3337" width="8.88671875" style="364"/>
    <col min="3338" max="3340" width="10.109375" style="364" bestFit="1" customWidth="1"/>
    <col min="3341" max="3342" width="12.109375" style="364" customWidth="1"/>
    <col min="3343" max="3585" width="8.88671875" style="364"/>
    <col min="3586" max="3586" width="33.44140625" style="364" customWidth="1"/>
    <col min="3587" max="3593" width="8.88671875" style="364"/>
    <col min="3594" max="3596" width="10.109375" style="364" bestFit="1" customWidth="1"/>
    <col min="3597" max="3598" width="12.109375" style="364" customWidth="1"/>
    <col min="3599" max="3841" width="8.88671875" style="364"/>
    <col min="3842" max="3842" width="33.44140625" style="364" customWidth="1"/>
    <col min="3843" max="3849" width="8.88671875" style="364"/>
    <col min="3850" max="3852" width="10.109375" style="364" bestFit="1" customWidth="1"/>
    <col min="3853" max="3854" width="12.109375" style="364" customWidth="1"/>
    <col min="3855" max="4097" width="8.88671875" style="364"/>
    <col min="4098" max="4098" width="33.44140625" style="364" customWidth="1"/>
    <col min="4099" max="4105" width="8.88671875" style="364"/>
    <col min="4106" max="4108" width="10.109375" style="364" bestFit="1" customWidth="1"/>
    <col min="4109" max="4110" width="12.109375" style="364" customWidth="1"/>
    <col min="4111" max="4353" width="8.88671875" style="364"/>
    <col min="4354" max="4354" width="33.44140625" style="364" customWidth="1"/>
    <col min="4355" max="4361" width="8.88671875" style="364"/>
    <col min="4362" max="4364" width="10.109375" style="364" bestFit="1" customWidth="1"/>
    <col min="4365" max="4366" width="12.109375" style="364" customWidth="1"/>
    <col min="4367" max="4609" width="8.88671875" style="364"/>
    <col min="4610" max="4610" width="33.44140625" style="364" customWidth="1"/>
    <col min="4611" max="4617" width="8.88671875" style="364"/>
    <col min="4618" max="4620" width="10.109375" style="364" bestFit="1" customWidth="1"/>
    <col min="4621" max="4622" width="12.109375" style="364" customWidth="1"/>
    <col min="4623" max="4865" width="8.88671875" style="364"/>
    <col min="4866" max="4866" width="33.44140625" style="364" customWidth="1"/>
    <col min="4867" max="4873" width="8.88671875" style="364"/>
    <col min="4874" max="4876" width="10.109375" style="364" bestFit="1" customWidth="1"/>
    <col min="4877" max="4878" width="12.109375" style="364" customWidth="1"/>
    <col min="4879" max="5121" width="8.88671875" style="364"/>
    <col min="5122" max="5122" width="33.44140625" style="364" customWidth="1"/>
    <col min="5123" max="5129" width="8.88671875" style="364"/>
    <col min="5130" max="5132" width="10.109375" style="364" bestFit="1" customWidth="1"/>
    <col min="5133" max="5134" width="12.109375" style="364" customWidth="1"/>
    <col min="5135" max="5377" width="8.88671875" style="364"/>
    <col min="5378" max="5378" width="33.44140625" style="364" customWidth="1"/>
    <col min="5379" max="5385" width="8.88671875" style="364"/>
    <col min="5386" max="5388" width="10.109375" style="364" bestFit="1" customWidth="1"/>
    <col min="5389" max="5390" width="12.109375" style="364" customWidth="1"/>
    <col min="5391" max="5633" width="8.88671875" style="364"/>
    <col min="5634" max="5634" width="33.44140625" style="364" customWidth="1"/>
    <col min="5635" max="5641" width="8.88671875" style="364"/>
    <col min="5642" max="5644" width="10.109375" style="364" bestFit="1" customWidth="1"/>
    <col min="5645" max="5646" width="12.109375" style="364" customWidth="1"/>
    <col min="5647" max="5889" width="8.88671875" style="364"/>
    <col min="5890" max="5890" width="33.44140625" style="364" customWidth="1"/>
    <col min="5891" max="5897" width="8.88671875" style="364"/>
    <col min="5898" max="5900" width="10.109375" style="364" bestFit="1" customWidth="1"/>
    <col min="5901" max="5902" width="12.109375" style="364" customWidth="1"/>
    <col min="5903" max="6145" width="8.88671875" style="364"/>
    <col min="6146" max="6146" width="33.44140625" style="364" customWidth="1"/>
    <col min="6147" max="6153" width="8.88671875" style="364"/>
    <col min="6154" max="6156" width="10.109375" style="364" bestFit="1" customWidth="1"/>
    <col min="6157" max="6158" width="12.109375" style="364" customWidth="1"/>
    <col min="6159" max="6401" width="8.88671875" style="364"/>
    <col min="6402" max="6402" width="33.44140625" style="364" customWidth="1"/>
    <col min="6403" max="6409" width="8.88671875" style="364"/>
    <col min="6410" max="6412" width="10.109375" style="364" bestFit="1" customWidth="1"/>
    <col min="6413" max="6414" width="12.109375" style="364" customWidth="1"/>
    <col min="6415" max="6657" width="8.88671875" style="364"/>
    <col min="6658" max="6658" width="33.44140625" style="364" customWidth="1"/>
    <col min="6659" max="6665" width="8.88671875" style="364"/>
    <col min="6666" max="6668" width="10.109375" style="364" bestFit="1" customWidth="1"/>
    <col min="6669" max="6670" width="12.109375" style="364" customWidth="1"/>
    <col min="6671" max="6913" width="8.88671875" style="364"/>
    <col min="6914" max="6914" width="33.44140625" style="364" customWidth="1"/>
    <col min="6915" max="6921" width="8.88671875" style="364"/>
    <col min="6922" max="6924" width="10.109375" style="364" bestFit="1" customWidth="1"/>
    <col min="6925" max="6926" width="12.109375" style="364" customWidth="1"/>
    <col min="6927" max="7169" width="8.88671875" style="364"/>
    <col min="7170" max="7170" width="33.44140625" style="364" customWidth="1"/>
    <col min="7171" max="7177" width="8.88671875" style="364"/>
    <col min="7178" max="7180" width="10.109375" style="364" bestFit="1" customWidth="1"/>
    <col min="7181" max="7182" width="12.109375" style="364" customWidth="1"/>
    <col min="7183" max="7425" width="8.88671875" style="364"/>
    <col min="7426" max="7426" width="33.44140625" style="364" customWidth="1"/>
    <col min="7427" max="7433" width="8.88671875" style="364"/>
    <col min="7434" max="7436" width="10.109375" style="364" bestFit="1" customWidth="1"/>
    <col min="7437" max="7438" width="12.109375" style="364" customWidth="1"/>
    <col min="7439" max="7681" width="8.88671875" style="364"/>
    <col min="7682" max="7682" width="33.44140625" style="364" customWidth="1"/>
    <col min="7683" max="7689" width="8.88671875" style="364"/>
    <col min="7690" max="7692" width="10.109375" style="364" bestFit="1" customWidth="1"/>
    <col min="7693" max="7694" width="12.109375" style="364" customWidth="1"/>
    <col min="7695" max="7937" width="8.88671875" style="364"/>
    <col min="7938" max="7938" width="33.44140625" style="364" customWidth="1"/>
    <col min="7939" max="7945" width="8.88671875" style="364"/>
    <col min="7946" max="7948" width="10.109375" style="364" bestFit="1" customWidth="1"/>
    <col min="7949" max="7950" width="12.109375" style="364" customWidth="1"/>
    <col min="7951" max="8193" width="8.88671875" style="364"/>
    <col min="8194" max="8194" width="33.44140625" style="364" customWidth="1"/>
    <col min="8195" max="8201" width="8.88671875" style="364"/>
    <col min="8202" max="8204" width="10.109375" style="364" bestFit="1" customWidth="1"/>
    <col min="8205" max="8206" width="12.109375" style="364" customWidth="1"/>
    <col min="8207" max="8449" width="8.88671875" style="364"/>
    <col min="8450" max="8450" width="33.44140625" style="364" customWidth="1"/>
    <col min="8451" max="8457" width="8.88671875" style="364"/>
    <col min="8458" max="8460" width="10.109375" style="364" bestFit="1" customWidth="1"/>
    <col min="8461" max="8462" width="12.109375" style="364" customWidth="1"/>
    <col min="8463" max="8705" width="8.88671875" style="364"/>
    <col min="8706" max="8706" width="33.44140625" style="364" customWidth="1"/>
    <col min="8707" max="8713" width="8.88671875" style="364"/>
    <col min="8714" max="8716" width="10.109375" style="364" bestFit="1" customWidth="1"/>
    <col min="8717" max="8718" width="12.109375" style="364" customWidth="1"/>
    <col min="8719" max="8961" width="8.88671875" style="364"/>
    <col min="8962" max="8962" width="33.44140625" style="364" customWidth="1"/>
    <col min="8963" max="8969" width="8.88671875" style="364"/>
    <col min="8970" max="8972" width="10.109375" style="364" bestFit="1" customWidth="1"/>
    <col min="8973" max="8974" width="12.109375" style="364" customWidth="1"/>
    <col min="8975" max="9217" width="8.88671875" style="364"/>
    <col min="9218" max="9218" width="33.44140625" style="364" customWidth="1"/>
    <col min="9219" max="9225" width="8.88671875" style="364"/>
    <col min="9226" max="9228" width="10.109375" style="364" bestFit="1" customWidth="1"/>
    <col min="9229" max="9230" width="12.109375" style="364" customWidth="1"/>
    <col min="9231" max="9473" width="8.88671875" style="364"/>
    <col min="9474" max="9474" width="33.44140625" style="364" customWidth="1"/>
    <col min="9475" max="9481" width="8.88671875" style="364"/>
    <col min="9482" max="9484" width="10.109375" style="364" bestFit="1" customWidth="1"/>
    <col min="9485" max="9486" width="12.109375" style="364" customWidth="1"/>
    <col min="9487" max="9729" width="8.88671875" style="364"/>
    <col min="9730" max="9730" width="33.44140625" style="364" customWidth="1"/>
    <col min="9731" max="9737" width="8.88671875" style="364"/>
    <col min="9738" max="9740" width="10.109375" style="364" bestFit="1" customWidth="1"/>
    <col min="9741" max="9742" width="12.109375" style="364" customWidth="1"/>
    <col min="9743" max="9985" width="8.88671875" style="364"/>
    <col min="9986" max="9986" width="33.44140625" style="364" customWidth="1"/>
    <col min="9987" max="9993" width="8.88671875" style="364"/>
    <col min="9994" max="9996" width="10.109375" style="364" bestFit="1" customWidth="1"/>
    <col min="9997" max="9998" width="12.109375" style="364" customWidth="1"/>
    <col min="9999" max="10241" width="8.88671875" style="364"/>
    <col min="10242" max="10242" width="33.44140625" style="364" customWidth="1"/>
    <col min="10243" max="10249" width="8.88671875" style="364"/>
    <col min="10250" max="10252" width="10.109375" style="364" bestFit="1" customWidth="1"/>
    <col min="10253" max="10254" width="12.109375" style="364" customWidth="1"/>
    <col min="10255" max="10497" width="8.88671875" style="364"/>
    <col min="10498" max="10498" width="33.44140625" style="364" customWidth="1"/>
    <col min="10499" max="10505" width="8.88671875" style="364"/>
    <col min="10506" max="10508" width="10.109375" style="364" bestFit="1" customWidth="1"/>
    <col min="10509" max="10510" width="12.109375" style="364" customWidth="1"/>
    <col min="10511" max="10753" width="8.88671875" style="364"/>
    <col min="10754" max="10754" width="33.44140625" style="364" customWidth="1"/>
    <col min="10755" max="10761" width="8.88671875" style="364"/>
    <col min="10762" max="10764" width="10.109375" style="364" bestFit="1" customWidth="1"/>
    <col min="10765" max="10766" width="12.109375" style="364" customWidth="1"/>
    <col min="10767" max="11009" width="8.88671875" style="364"/>
    <col min="11010" max="11010" width="33.44140625" style="364" customWidth="1"/>
    <col min="11011" max="11017" width="8.88671875" style="364"/>
    <col min="11018" max="11020" width="10.109375" style="364" bestFit="1" customWidth="1"/>
    <col min="11021" max="11022" width="12.109375" style="364" customWidth="1"/>
    <col min="11023" max="11265" width="8.88671875" style="364"/>
    <col min="11266" max="11266" width="33.44140625" style="364" customWidth="1"/>
    <col min="11267" max="11273" width="8.88671875" style="364"/>
    <col min="11274" max="11276" width="10.109375" style="364" bestFit="1" customWidth="1"/>
    <col min="11277" max="11278" width="12.109375" style="364" customWidth="1"/>
    <col min="11279" max="11521" width="8.88671875" style="364"/>
    <col min="11522" max="11522" width="33.44140625" style="364" customWidth="1"/>
    <col min="11523" max="11529" width="8.88671875" style="364"/>
    <col min="11530" max="11532" width="10.109375" style="364" bestFit="1" customWidth="1"/>
    <col min="11533" max="11534" width="12.109375" style="364" customWidth="1"/>
    <col min="11535" max="11777" width="8.88671875" style="364"/>
    <col min="11778" max="11778" width="33.44140625" style="364" customWidth="1"/>
    <col min="11779" max="11785" width="8.88671875" style="364"/>
    <col min="11786" max="11788" width="10.109375" style="364" bestFit="1" customWidth="1"/>
    <col min="11789" max="11790" width="12.109375" style="364" customWidth="1"/>
    <col min="11791" max="12033" width="8.88671875" style="364"/>
    <col min="12034" max="12034" width="33.44140625" style="364" customWidth="1"/>
    <col min="12035" max="12041" width="8.88671875" style="364"/>
    <col min="12042" max="12044" width="10.109375" style="364" bestFit="1" customWidth="1"/>
    <col min="12045" max="12046" width="12.109375" style="364" customWidth="1"/>
    <col min="12047" max="12289" width="8.88671875" style="364"/>
    <col min="12290" max="12290" width="33.44140625" style="364" customWidth="1"/>
    <col min="12291" max="12297" width="8.88671875" style="364"/>
    <col min="12298" max="12300" width="10.109375" style="364" bestFit="1" customWidth="1"/>
    <col min="12301" max="12302" width="12.109375" style="364" customWidth="1"/>
    <col min="12303" max="12545" width="8.88671875" style="364"/>
    <col min="12546" max="12546" width="33.44140625" style="364" customWidth="1"/>
    <col min="12547" max="12553" width="8.88671875" style="364"/>
    <col min="12554" max="12556" width="10.109375" style="364" bestFit="1" customWidth="1"/>
    <col min="12557" max="12558" width="12.109375" style="364" customWidth="1"/>
    <col min="12559" max="12801" width="8.88671875" style="364"/>
    <col min="12802" max="12802" width="33.44140625" style="364" customWidth="1"/>
    <col min="12803" max="12809" width="8.88671875" style="364"/>
    <col min="12810" max="12812" width="10.109375" style="364" bestFit="1" customWidth="1"/>
    <col min="12813" max="12814" width="12.109375" style="364" customWidth="1"/>
    <col min="12815" max="13057" width="8.88671875" style="364"/>
    <col min="13058" max="13058" width="33.44140625" style="364" customWidth="1"/>
    <col min="13059" max="13065" width="8.88671875" style="364"/>
    <col min="13066" max="13068" width="10.109375" style="364" bestFit="1" customWidth="1"/>
    <col min="13069" max="13070" width="12.109375" style="364" customWidth="1"/>
    <col min="13071" max="13313" width="8.88671875" style="364"/>
    <col min="13314" max="13314" width="33.44140625" style="364" customWidth="1"/>
    <col min="13315" max="13321" width="8.88671875" style="364"/>
    <col min="13322" max="13324" width="10.109375" style="364" bestFit="1" customWidth="1"/>
    <col min="13325" max="13326" width="12.109375" style="364" customWidth="1"/>
    <col min="13327" max="13569" width="8.88671875" style="364"/>
    <col min="13570" max="13570" width="33.44140625" style="364" customWidth="1"/>
    <col min="13571" max="13577" width="8.88671875" style="364"/>
    <col min="13578" max="13580" width="10.109375" style="364" bestFit="1" customWidth="1"/>
    <col min="13581" max="13582" width="12.109375" style="364" customWidth="1"/>
    <col min="13583" max="13825" width="8.88671875" style="364"/>
    <col min="13826" max="13826" width="33.44140625" style="364" customWidth="1"/>
    <col min="13827" max="13833" width="8.88671875" style="364"/>
    <col min="13834" max="13836" width="10.109375" style="364" bestFit="1" customWidth="1"/>
    <col min="13837" max="13838" width="12.109375" style="364" customWidth="1"/>
    <col min="13839" max="14081" width="8.88671875" style="364"/>
    <col min="14082" max="14082" width="33.44140625" style="364" customWidth="1"/>
    <col min="14083" max="14089" width="8.88671875" style="364"/>
    <col min="14090" max="14092" width="10.109375" style="364" bestFit="1" customWidth="1"/>
    <col min="14093" max="14094" width="12.109375" style="364" customWidth="1"/>
    <col min="14095" max="14337" width="8.88671875" style="364"/>
    <col min="14338" max="14338" width="33.44140625" style="364" customWidth="1"/>
    <col min="14339" max="14345" width="8.88671875" style="364"/>
    <col min="14346" max="14348" width="10.109375" style="364" bestFit="1" customWidth="1"/>
    <col min="14349" max="14350" width="12.109375" style="364" customWidth="1"/>
    <col min="14351" max="14593" width="8.88671875" style="364"/>
    <col min="14594" max="14594" width="33.44140625" style="364" customWidth="1"/>
    <col min="14595" max="14601" width="8.88671875" style="364"/>
    <col min="14602" max="14604" width="10.109375" style="364" bestFit="1" customWidth="1"/>
    <col min="14605" max="14606" width="12.109375" style="364" customWidth="1"/>
    <col min="14607" max="14849" width="8.88671875" style="364"/>
    <col min="14850" max="14850" width="33.44140625" style="364" customWidth="1"/>
    <col min="14851" max="14857" width="8.88671875" style="364"/>
    <col min="14858" max="14860" width="10.109375" style="364" bestFit="1" customWidth="1"/>
    <col min="14861" max="14862" width="12.109375" style="364" customWidth="1"/>
    <col min="14863" max="15105" width="8.88671875" style="364"/>
    <col min="15106" max="15106" width="33.44140625" style="364" customWidth="1"/>
    <col min="15107" max="15113" width="8.88671875" style="364"/>
    <col min="15114" max="15116" width="10.109375" style="364" bestFit="1" customWidth="1"/>
    <col min="15117" max="15118" width="12.109375" style="364" customWidth="1"/>
    <col min="15119" max="15361" width="8.88671875" style="364"/>
    <col min="15362" max="15362" width="33.44140625" style="364" customWidth="1"/>
    <col min="15363" max="15369" width="8.88671875" style="364"/>
    <col min="15370" max="15372" width="10.109375" style="364" bestFit="1" customWidth="1"/>
    <col min="15373" max="15374" width="12.109375" style="364" customWidth="1"/>
    <col min="15375" max="15617" width="8.88671875" style="364"/>
    <col min="15618" max="15618" width="33.44140625" style="364" customWidth="1"/>
    <col min="15619" max="15625" width="8.88671875" style="364"/>
    <col min="15626" max="15628" width="10.109375" style="364" bestFit="1" customWidth="1"/>
    <col min="15629" max="15630" width="12.109375" style="364" customWidth="1"/>
    <col min="15631" max="15873" width="8.88671875" style="364"/>
    <col min="15874" max="15874" width="33.44140625" style="364" customWidth="1"/>
    <col min="15875" max="15881" width="8.88671875" style="364"/>
    <col min="15882" max="15884" width="10.109375" style="364" bestFit="1" customWidth="1"/>
    <col min="15885" max="15886" width="12.109375" style="364" customWidth="1"/>
    <col min="15887" max="16129" width="8.88671875" style="364"/>
    <col min="16130" max="16130" width="33.44140625" style="364" customWidth="1"/>
    <col min="16131" max="16137" width="8.88671875" style="364"/>
    <col min="16138" max="16140" width="10.109375" style="364" bestFit="1" customWidth="1"/>
    <col min="16141" max="16142" width="12.109375" style="364" customWidth="1"/>
    <col min="16143" max="16384" width="8.88671875" style="364"/>
  </cols>
  <sheetData>
    <row r="1" spans="1:14" ht="12.75" customHeight="1">
      <c r="A1" s="1546" t="s">
        <v>334</v>
      </c>
      <c r="B1" s="1525"/>
      <c r="C1" s="1525"/>
      <c r="D1" s="1525"/>
      <c r="E1" s="1525"/>
      <c r="F1" s="1525"/>
      <c r="G1" s="1525"/>
      <c r="H1" s="1526"/>
      <c r="I1" s="1527" t="s">
        <v>319</v>
      </c>
      <c r="J1" s="1528"/>
      <c r="K1" s="1528"/>
      <c r="L1" s="1528"/>
      <c r="M1" s="1528"/>
      <c r="N1" s="1531">
        <f>'F1  Cover'!A26</f>
        <v>3800</v>
      </c>
    </row>
    <row r="2" spans="1:14">
      <c r="A2" s="1547"/>
      <c r="B2" s="1534"/>
      <c r="C2" s="1534"/>
      <c r="D2" s="1534"/>
      <c r="E2" s="1534"/>
      <c r="F2" s="1534"/>
      <c r="G2" s="1534"/>
      <c r="H2" s="1534"/>
      <c r="I2" s="1529"/>
      <c r="J2" s="1530"/>
      <c r="K2" s="1530"/>
      <c r="L2" s="1530"/>
      <c r="M2" s="1530"/>
      <c r="N2" s="1532"/>
    </row>
    <row r="3" spans="1:14">
      <c r="A3" s="464" t="s">
        <v>445</v>
      </c>
      <c r="B3" s="463" t="str">
        <f>'F1 Forecast Consultant'!C3</f>
        <v>WESTERN</v>
      </c>
      <c r="I3" s="1535" t="s">
        <v>320</v>
      </c>
      <c r="J3" s="1536"/>
      <c r="K3" s="1518">
        <f>'F1  Cover'!K8</f>
        <v>1</v>
      </c>
      <c r="L3" s="1519"/>
      <c r="M3" s="1519"/>
      <c r="N3" s="1520"/>
    </row>
    <row r="4" spans="1:14" ht="13.8" thickBot="1">
      <c r="A4" s="1548"/>
      <c r="B4" s="1538"/>
      <c r="C4" s="1538"/>
      <c r="D4" s="1538"/>
      <c r="E4" s="1538"/>
      <c r="F4" s="1538"/>
      <c r="G4" s="1538"/>
      <c r="H4" s="1538"/>
      <c r="I4" s="1539" t="s">
        <v>321</v>
      </c>
      <c r="J4" s="1540"/>
      <c r="K4" s="1541" t="str">
        <f>'F1 Forecast Combined'!E3</f>
        <v>X.002-180-2024/1RF</v>
      </c>
      <c r="L4" s="1541"/>
      <c r="M4" s="1541"/>
      <c r="N4" s="1542"/>
    </row>
    <row r="5" spans="1:14" ht="13.8" thickBot="1">
      <c r="A5" s="442" t="s">
        <v>322</v>
      </c>
      <c r="B5" s="443"/>
      <c r="C5" s="443"/>
      <c r="D5" s="443"/>
      <c r="E5" s="443"/>
      <c r="F5" s="443"/>
      <c r="G5" s="443"/>
      <c r="H5" s="443"/>
      <c r="I5" s="443"/>
      <c r="J5" s="443"/>
      <c r="K5" s="443"/>
      <c r="L5" s="443"/>
      <c r="M5" s="443"/>
      <c r="N5" s="444"/>
    </row>
    <row r="6" spans="1:14" ht="40.200000000000003" thickBot="1">
      <c r="A6" s="445" t="s">
        <v>93</v>
      </c>
      <c r="B6" s="470" t="s">
        <v>0</v>
      </c>
      <c r="C6" s="437" t="s">
        <v>1</v>
      </c>
      <c r="D6" s="435" t="s">
        <v>323</v>
      </c>
      <c r="E6" s="436" t="s">
        <v>324</v>
      </c>
      <c r="F6" s="436" t="s">
        <v>325</v>
      </c>
      <c r="G6" s="436" t="s">
        <v>326</v>
      </c>
      <c r="H6" s="437" t="s">
        <v>327</v>
      </c>
      <c r="I6" s="435" t="s">
        <v>3</v>
      </c>
      <c r="J6" s="436" t="s">
        <v>328</v>
      </c>
      <c r="K6" s="436" t="s">
        <v>329</v>
      </c>
      <c r="L6" s="436" t="s">
        <v>330</v>
      </c>
      <c r="M6" s="436" t="s">
        <v>331</v>
      </c>
      <c r="N6" s="437" t="s">
        <v>332</v>
      </c>
    </row>
    <row r="7" spans="1:14" ht="39" customHeight="1">
      <c r="A7" s="366">
        <f>'RRM Pricing Schedule'!A138</f>
        <v>3800</v>
      </c>
      <c r="B7" s="367" t="str">
        <f>'RRM Pricing Schedule'!B138</f>
        <v>CLOSE OUT</v>
      </c>
      <c r="C7" s="379"/>
      <c r="D7" s="385"/>
      <c r="E7" s="368"/>
      <c r="F7" s="368"/>
      <c r="G7" s="368"/>
      <c r="H7" s="386"/>
      <c r="I7" s="449"/>
      <c r="J7" s="368"/>
      <c r="K7" s="368"/>
      <c r="L7" s="368"/>
      <c r="M7" s="368"/>
      <c r="N7" s="450"/>
    </row>
    <row r="8" spans="1:14" ht="31.5" customHeight="1">
      <c r="A8" s="451">
        <f>'RRM Pricing Schedule'!A139</f>
        <v>38.01</v>
      </c>
      <c r="B8" s="371" t="str">
        <f>'RRM Pricing Schedule'!B139</f>
        <v>Close Out</v>
      </c>
      <c r="C8" s="380"/>
      <c r="D8" s="387"/>
      <c r="E8" s="372"/>
      <c r="F8" s="372"/>
      <c r="G8" s="372"/>
      <c r="H8" s="373"/>
      <c r="I8" s="452"/>
      <c r="J8" s="372"/>
      <c r="K8" s="372"/>
      <c r="L8" s="372"/>
      <c r="M8" s="372"/>
      <c r="N8" s="453"/>
    </row>
    <row r="9" spans="1:14" ht="31.5" customHeight="1">
      <c r="A9" s="451"/>
      <c r="B9" s="371" t="str">
        <f>'RRM Pricing Schedule'!B140</f>
        <v>(a) Road works</v>
      </c>
      <c r="C9" s="371"/>
      <c r="D9" s="387"/>
      <c r="E9" s="746"/>
      <c r="F9" s="372"/>
      <c r="G9" s="372"/>
      <c r="H9" s="373"/>
      <c r="I9" s="452"/>
      <c r="J9" s="372"/>
      <c r="K9" s="372"/>
      <c r="L9" s="372"/>
      <c r="M9" s="372"/>
      <c r="N9" s="373"/>
    </row>
    <row r="10" spans="1:14" ht="31.5" customHeight="1" thickBot="1">
      <c r="A10" s="451"/>
      <c r="B10" s="371" t="str">
        <f>'RRM Pricing Schedule'!B141</f>
        <v xml:space="preserve">     (i) Fee (based on Hours tendered for stage)</v>
      </c>
      <c r="C10" s="371" t="str">
        <f>'RRM Pricing Schedule'!C141</f>
        <v>Lump Sum</v>
      </c>
      <c r="D10" s="387">
        <v>1</v>
      </c>
      <c r="E10" s="734">
        <f t="shared" ref="E10" si="0">D10</f>
        <v>1</v>
      </c>
      <c r="F10" s="585">
        <f>DATA!$CC$52</f>
        <v>0</v>
      </c>
      <c r="G10" s="441"/>
      <c r="H10" s="373">
        <f>IF((F10+G10)&gt;E10,"ERROR TOO MUCH",(F10+G10))</f>
        <v>0</v>
      </c>
      <c r="I10" s="452">
        <f>'RRM Pricing Schedule'!F141</f>
        <v>0</v>
      </c>
      <c r="J10" s="372">
        <f>D10*I10</f>
        <v>0</v>
      </c>
      <c r="K10" s="372">
        <f>E10*I10</f>
        <v>0</v>
      </c>
      <c r="L10" s="372">
        <f>F10*I10</f>
        <v>0</v>
      </c>
      <c r="M10" s="372">
        <f>G10*I10</f>
        <v>0</v>
      </c>
      <c r="N10" s="373">
        <f>H10*I10</f>
        <v>0</v>
      </c>
    </row>
    <row r="11" spans="1:14" ht="31.5" customHeight="1" thickBot="1">
      <c r="A11" s="1500" t="s">
        <v>333</v>
      </c>
      <c r="B11" s="1500"/>
      <c r="C11" s="1500"/>
      <c r="D11" s="435"/>
      <c r="E11" s="436"/>
      <c r="F11" s="436"/>
      <c r="G11" s="436"/>
      <c r="H11" s="437"/>
      <c r="I11" s="435"/>
      <c r="J11" s="439">
        <f>SUM(J9:J10)</f>
        <v>0</v>
      </c>
      <c r="K11" s="439">
        <f>SUM(K9:K10)</f>
        <v>0</v>
      </c>
      <c r="L11" s="439">
        <f>SUM(L9:L10)</f>
        <v>0</v>
      </c>
      <c r="M11" s="439">
        <f>SUM(M9:M10)</f>
        <v>0</v>
      </c>
      <c r="N11" s="440">
        <f>SUM(N9:N10)</f>
        <v>0</v>
      </c>
    </row>
    <row r="14" spans="1:14" ht="30.9" customHeight="1">
      <c r="A14" s="545" t="s">
        <v>382</v>
      </c>
      <c r="B14" s="545"/>
      <c r="J14" s="455">
        <v>0</v>
      </c>
      <c r="K14" s="455">
        <v>0</v>
      </c>
      <c r="L14" s="455">
        <v>0</v>
      </c>
      <c r="M14" s="455">
        <v>0</v>
      </c>
      <c r="N14" s="455">
        <v>0</v>
      </c>
    </row>
    <row r="15" spans="1:14" ht="30.9" customHeight="1">
      <c r="A15" s="364" t="s">
        <v>384</v>
      </c>
      <c r="J15" s="455">
        <f>J9+J10</f>
        <v>0</v>
      </c>
      <c r="K15" s="455">
        <f t="shared" ref="K15:N15" si="1">K9+K10</f>
        <v>0</v>
      </c>
      <c r="L15" s="455">
        <f t="shared" si="1"/>
        <v>0</v>
      </c>
      <c r="M15" s="455">
        <f t="shared" si="1"/>
        <v>0</v>
      </c>
      <c r="N15" s="455">
        <f t="shared" si="1"/>
        <v>0</v>
      </c>
    </row>
    <row r="16" spans="1:14" ht="30.9" customHeight="1" thickBot="1">
      <c r="A16" s="364" t="s">
        <v>383</v>
      </c>
      <c r="J16" s="517">
        <f>SUM(J14:J15)</f>
        <v>0</v>
      </c>
      <c r="K16" s="517">
        <f t="shared" ref="K16:N16" si="2">SUM(K14:K15)</f>
        <v>0</v>
      </c>
      <c r="L16" s="517">
        <f t="shared" si="2"/>
        <v>0</v>
      </c>
      <c r="M16" s="517">
        <f t="shared" si="2"/>
        <v>0</v>
      </c>
      <c r="N16" s="517">
        <f t="shared" si="2"/>
        <v>0</v>
      </c>
    </row>
    <row r="17" ht="13.8" thickTop="1"/>
  </sheetData>
  <mergeCells count="10">
    <mergeCell ref="A4:H4"/>
    <mergeCell ref="I4:J4"/>
    <mergeCell ref="K4:N4"/>
    <mergeCell ref="A11:C11"/>
    <mergeCell ref="A1:H1"/>
    <mergeCell ref="I1:M2"/>
    <mergeCell ref="N1:N2"/>
    <mergeCell ref="A2:H2"/>
    <mergeCell ref="I3:J3"/>
    <mergeCell ref="K3:N3"/>
  </mergeCells>
  <conditionalFormatting sqref="H10">
    <cfRule type="containsText" dxfId="2" priority="1" operator="containsText" text="ERROR">
      <formula>NOT(ISERROR(SEARCH("ERROR",H10)))</formula>
    </cfRule>
  </conditionalFormatting>
  <dataValidations count="1">
    <dataValidation type="decimal" operator="lessThanOrEqual" allowBlank="1" showInputMessage="1" showErrorMessage="1" sqref="H10" xr:uid="{7DF8BFE9-6120-4579-93FD-78A1F7B7DCF3}">
      <formula1>1</formula1>
    </dataValidation>
  </dataValidations>
  <pageMargins left="0" right="0" top="0.35" bottom="0.17" header="0.17" footer="0.35"/>
  <pageSetup paperSize="9" scale="72" fitToHeight="0" orientation="landscape" r:id="rId1"/>
  <headerFooter alignWithMargins="0">
    <oddHeader>&amp;L&amp;"Calibri"&amp;10&amp;K000000 Sensitivity - General&amp;1#_x000D_</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46">
    <tabColor rgb="FF0070C0"/>
    <pageSetUpPr fitToPage="1"/>
  </sheetPr>
  <dimension ref="A1:H46"/>
  <sheetViews>
    <sheetView view="pageBreakPreview" zoomScale="60" zoomScaleNormal="75" workbookViewId="0">
      <selection sqref="A1:E1"/>
    </sheetView>
  </sheetViews>
  <sheetFormatPr defaultRowHeight="13.2"/>
  <cols>
    <col min="1" max="1" width="10.88671875" style="10" customWidth="1"/>
    <col min="2" max="2" width="15.6640625" style="10" customWidth="1"/>
    <col min="3" max="3" width="12.88671875" style="10" customWidth="1"/>
    <col min="4" max="4" width="12.109375" style="10" customWidth="1"/>
    <col min="5" max="5" width="7.6640625" style="10" customWidth="1"/>
    <col min="6" max="6" width="7.33203125" style="10" customWidth="1"/>
    <col min="7" max="7" width="28.6640625" style="10" customWidth="1"/>
    <col min="8" max="8" width="42.6640625" style="10" customWidth="1"/>
    <col min="9" max="256" width="9.109375" style="10"/>
    <col min="257" max="257" width="10.88671875" style="10" customWidth="1"/>
    <col min="258" max="258" width="15.6640625" style="10" customWidth="1"/>
    <col min="259" max="259" width="12.88671875" style="10" customWidth="1"/>
    <col min="260" max="260" width="12.109375" style="10" customWidth="1"/>
    <col min="261" max="261" width="7.6640625" style="10" customWidth="1"/>
    <col min="262" max="262" width="5.33203125" style="10" customWidth="1"/>
    <col min="263" max="263" width="28.6640625" style="10" customWidth="1"/>
    <col min="264" max="264" width="42.6640625" style="10" customWidth="1"/>
    <col min="265" max="512" width="9.109375" style="10"/>
    <col min="513" max="513" width="10.88671875" style="10" customWidth="1"/>
    <col min="514" max="514" width="15.6640625" style="10" customWidth="1"/>
    <col min="515" max="515" width="12.88671875" style="10" customWidth="1"/>
    <col min="516" max="516" width="12.109375" style="10" customWidth="1"/>
    <col min="517" max="517" width="7.6640625" style="10" customWidth="1"/>
    <col min="518" max="518" width="5.33203125" style="10" customWidth="1"/>
    <col min="519" max="519" width="28.6640625" style="10" customWidth="1"/>
    <col min="520" max="520" width="42.6640625" style="10" customWidth="1"/>
    <col min="521" max="768" width="9.109375" style="10"/>
    <col min="769" max="769" width="10.88671875" style="10" customWidth="1"/>
    <col min="770" max="770" width="15.6640625" style="10" customWidth="1"/>
    <col min="771" max="771" width="12.88671875" style="10" customWidth="1"/>
    <col min="772" max="772" width="12.109375" style="10" customWidth="1"/>
    <col min="773" max="773" width="7.6640625" style="10" customWidth="1"/>
    <col min="774" max="774" width="5.33203125" style="10" customWidth="1"/>
    <col min="775" max="775" width="28.6640625" style="10" customWidth="1"/>
    <col min="776" max="776" width="42.6640625" style="10" customWidth="1"/>
    <col min="777" max="1024" width="9.109375" style="10"/>
    <col min="1025" max="1025" width="10.88671875" style="10" customWidth="1"/>
    <col min="1026" max="1026" width="15.6640625" style="10" customWidth="1"/>
    <col min="1027" max="1027" width="12.88671875" style="10" customWidth="1"/>
    <col min="1028" max="1028" width="12.109375" style="10" customWidth="1"/>
    <col min="1029" max="1029" width="7.6640625" style="10" customWidth="1"/>
    <col min="1030" max="1030" width="5.33203125" style="10" customWidth="1"/>
    <col min="1031" max="1031" width="28.6640625" style="10" customWidth="1"/>
    <col min="1032" max="1032" width="42.6640625" style="10" customWidth="1"/>
    <col min="1033" max="1280" width="9.109375" style="10"/>
    <col min="1281" max="1281" width="10.88671875" style="10" customWidth="1"/>
    <col min="1282" max="1282" width="15.6640625" style="10" customWidth="1"/>
    <col min="1283" max="1283" width="12.88671875" style="10" customWidth="1"/>
    <col min="1284" max="1284" width="12.109375" style="10" customWidth="1"/>
    <col min="1285" max="1285" width="7.6640625" style="10" customWidth="1"/>
    <col min="1286" max="1286" width="5.33203125" style="10" customWidth="1"/>
    <col min="1287" max="1287" width="28.6640625" style="10" customWidth="1"/>
    <col min="1288" max="1288" width="42.6640625" style="10" customWidth="1"/>
    <col min="1289" max="1536" width="9.109375" style="10"/>
    <col min="1537" max="1537" width="10.88671875" style="10" customWidth="1"/>
    <col min="1538" max="1538" width="15.6640625" style="10" customWidth="1"/>
    <col min="1539" max="1539" width="12.88671875" style="10" customWidth="1"/>
    <col min="1540" max="1540" width="12.109375" style="10" customWidth="1"/>
    <col min="1541" max="1541" width="7.6640625" style="10" customWidth="1"/>
    <col min="1542" max="1542" width="5.33203125" style="10" customWidth="1"/>
    <col min="1543" max="1543" width="28.6640625" style="10" customWidth="1"/>
    <col min="1544" max="1544" width="42.6640625" style="10" customWidth="1"/>
    <col min="1545" max="1792" width="9.109375" style="10"/>
    <col min="1793" max="1793" width="10.88671875" style="10" customWidth="1"/>
    <col min="1794" max="1794" width="15.6640625" style="10" customWidth="1"/>
    <col min="1795" max="1795" width="12.88671875" style="10" customWidth="1"/>
    <col min="1796" max="1796" width="12.109375" style="10" customWidth="1"/>
    <col min="1797" max="1797" width="7.6640625" style="10" customWidth="1"/>
    <col min="1798" max="1798" width="5.33203125" style="10" customWidth="1"/>
    <col min="1799" max="1799" width="28.6640625" style="10" customWidth="1"/>
    <col min="1800" max="1800" width="42.6640625" style="10" customWidth="1"/>
    <col min="1801" max="2048" width="9.109375" style="10"/>
    <col min="2049" max="2049" width="10.88671875" style="10" customWidth="1"/>
    <col min="2050" max="2050" width="15.6640625" style="10" customWidth="1"/>
    <col min="2051" max="2051" width="12.88671875" style="10" customWidth="1"/>
    <col min="2052" max="2052" width="12.109375" style="10" customWidth="1"/>
    <col min="2053" max="2053" width="7.6640625" style="10" customWidth="1"/>
    <col min="2054" max="2054" width="5.33203125" style="10" customWidth="1"/>
    <col min="2055" max="2055" width="28.6640625" style="10" customWidth="1"/>
    <col min="2056" max="2056" width="42.6640625" style="10" customWidth="1"/>
    <col min="2057" max="2304" width="9.109375" style="10"/>
    <col min="2305" max="2305" width="10.88671875" style="10" customWidth="1"/>
    <col min="2306" max="2306" width="15.6640625" style="10" customWidth="1"/>
    <col min="2307" max="2307" width="12.88671875" style="10" customWidth="1"/>
    <col min="2308" max="2308" width="12.109375" style="10" customWidth="1"/>
    <col min="2309" max="2309" width="7.6640625" style="10" customWidth="1"/>
    <col min="2310" max="2310" width="5.33203125" style="10" customWidth="1"/>
    <col min="2311" max="2311" width="28.6640625" style="10" customWidth="1"/>
    <col min="2312" max="2312" width="42.6640625" style="10" customWidth="1"/>
    <col min="2313" max="2560" width="9.109375" style="10"/>
    <col min="2561" max="2561" width="10.88671875" style="10" customWidth="1"/>
    <col min="2562" max="2562" width="15.6640625" style="10" customWidth="1"/>
    <col min="2563" max="2563" width="12.88671875" style="10" customWidth="1"/>
    <col min="2564" max="2564" width="12.109375" style="10" customWidth="1"/>
    <col min="2565" max="2565" width="7.6640625" style="10" customWidth="1"/>
    <col min="2566" max="2566" width="5.33203125" style="10" customWidth="1"/>
    <col min="2567" max="2567" width="28.6640625" style="10" customWidth="1"/>
    <col min="2568" max="2568" width="42.6640625" style="10" customWidth="1"/>
    <col min="2569" max="2816" width="9.109375" style="10"/>
    <col min="2817" max="2817" width="10.88671875" style="10" customWidth="1"/>
    <col min="2818" max="2818" width="15.6640625" style="10" customWidth="1"/>
    <col min="2819" max="2819" width="12.88671875" style="10" customWidth="1"/>
    <col min="2820" max="2820" width="12.109375" style="10" customWidth="1"/>
    <col min="2821" max="2821" width="7.6640625" style="10" customWidth="1"/>
    <col min="2822" max="2822" width="5.33203125" style="10" customWidth="1"/>
    <col min="2823" max="2823" width="28.6640625" style="10" customWidth="1"/>
    <col min="2824" max="2824" width="42.6640625" style="10" customWidth="1"/>
    <col min="2825" max="3072" width="9.109375" style="10"/>
    <col min="3073" max="3073" width="10.88671875" style="10" customWidth="1"/>
    <col min="3074" max="3074" width="15.6640625" style="10" customWidth="1"/>
    <col min="3075" max="3075" width="12.88671875" style="10" customWidth="1"/>
    <col min="3076" max="3076" width="12.109375" style="10" customWidth="1"/>
    <col min="3077" max="3077" width="7.6640625" style="10" customWidth="1"/>
    <col min="3078" max="3078" width="5.33203125" style="10" customWidth="1"/>
    <col min="3079" max="3079" width="28.6640625" style="10" customWidth="1"/>
    <col min="3080" max="3080" width="42.6640625" style="10" customWidth="1"/>
    <col min="3081" max="3328" width="9.109375" style="10"/>
    <col min="3329" max="3329" width="10.88671875" style="10" customWidth="1"/>
    <col min="3330" max="3330" width="15.6640625" style="10" customWidth="1"/>
    <col min="3331" max="3331" width="12.88671875" style="10" customWidth="1"/>
    <col min="3332" max="3332" width="12.109375" style="10" customWidth="1"/>
    <col min="3333" max="3333" width="7.6640625" style="10" customWidth="1"/>
    <col min="3334" max="3334" width="5.33203125" style="10" customWidth="1"/>
    <col min="3335" max="3335" width="28.6640625" style="10" customWidth="1"/>
    <col min="3336" max="3336" width="42.6640625" style="10" customWidth="1"/>
    <col min="3337" max="3584" width="9.109375" style="10"/>
    <col min="3585" max="3585" width="10.88671875" style="10" customWidth="1"/>
    <col min="3586" max="3586" width="15.6640625" style="10" customWidth="1"/>
    <col min="3587" max="3587" width="12.88671875" style="10" customWidth="1"/>
    <col min="3588" max="3588" width="12.109375" style="10" customWidth="1"/>
    <col min="3589" max="3589" width="7.6640625" style="10" customWidth="1"/>
    <col min="3590" max="3590" width="5.33203125" style="10" customWidth="1"/>
    <col min="3591" max="3591" width="28.6640625" style="10" customWidth="1"/>
    <col min="3592" max="3592" width="42.6640625" style="10" customWidth="1"/>
    <col min="3593" max="3840" width="9.109375" style="10"/>
    <col min="3841" max="3841" width="10.88671875" style="10" customWidth="1"/>
    <col min="3842" max="3842" width="15.6640625" style="10" customWidth="1"/>
    <col min="3843" max="3843" width="12.88671875" style="10" customWidth="1"/>
    <col min="3844" max="3844" width="12.109375" style="10" customWidth="1"/>
    <col min="3845" max="3845" width="7.6640625" style="10" customWidth="1"/>
    <col min="3846" max="3846" width="5.33203125" style="10" customWidth="1"/>
    <col min="3847" max="3847" width="28.6640625" style="10" customWidth="1"/>
    <col min="3848" max="3848" width="42.6640625" style="10" customWidth="1"/>
    <col min="3849" max="4096" width="9.109375" style="10"/>
    <col min="4097" max="4097" width="10.88671875" style="10" customWidth="1"/>
    <col min="4098" max="4098" width="15.6640625" style="10" customWidth="1"/>
    <col min="4099" max="4099" width="12.88671875" style="10" customWidth="1"/>
    <col min="4100" max="4100" width="12.109375" style="10" customWidth="1"/>
    <col min="4101" max="4101" width="7.6640625" style="10" customWidth="1"/>
    <col min="4102" max="4102" width="5.33203125" style="10" customWidth="1"/>
    <col min="4103" max="4103" width="28.6640625" style="10" customWidth="1"/>
    <col min="4104" max="4104" width="42.6640625" style="10" customWidth="1"/>
    <col min="4105" max="4352" width="9.109375" style="10"/>
    <col min="4353" max="4353" width="10.88671875" style="10" customWidth="1"/>
    <col min="4354" max="4354" width="15.6640625" style="10" customWidth="1"/>
    <col min="4355" max="4355" width="12.88671875" style="10" customWidth="1"/>
    <col min="4356" max="4356" width="12.109375" style="10" customWidth="1"/>
    <col min="4357" max="4357" width="7.6640625" style="10" customWidth="1"/>
    <col min="4358" max="4358" width="5.33203125" style="10" customWidth="1"/>
    <col min="4359" max="4359" width="28.6640625" style="10" customWidth="1"/>
    <col min="4360" max="4360" width="42.6640625" style="10" customWidth="1"/>
    <col min="4361" max="4608" width="9.109375" style="10"/>
    <col min="4609" max="4609" width="10.88671875" style="10" customWidth="1"/>
    <col min="4610" max="4610" width="15.6640625" style="10" customWidth="1"/>
    <col min="4611" max="4611" width="12.88671875" style="10" customWidth="1"/>
    <col min="4612" max="4612" width="12.109375" style="10" customWidth="1"/>
    <col min="4613" max="4613" width="7.6640625" style="10" customWidth="1"/>
    <col min="4614" max="4614" width="5.33203125" style="10" customWidth="1"/>
    <col min="4615" max="4615" width="28.6640625" style="10" customWidth="1"/>
    <col min="4616" max="4616" width="42.6640625" style="10" customWidth="1"/>
    <col min="4617" max="4864" width="9.109375" style="10"/>
    <col min="4865" max="4865" width="10.88671875" style="10" customWidth="1"/>
    <col min="4866" max="4866" width="15.6640625" style="10" customWidth="1"/>
    <col min="4867" max="4867" width="12.88671875" style="10" customWidth="1"/>
    <col min="4868" max="4868" width="12.109375" style="10" customWidth="1"/>
    <col min="4869" max="4869" width="7.6640625" style="10" customWidth="1"/>
    <col min="4870" max="4870" width="5.33203125" style="10" customWidth="1"/>
    <col min="4871" max="4871" width="28.6640625" style="10" customWidth="1"/>
    <col min="4872" max="4872" width="42.6640625" style="10" customWidth="1"/>
    <col min="4873" max="5120" width="9.109375" style="10"/>
    <col min="5121" max="5121" width="10.88671875" style="10" customWidth="1"/>
    <col min="5122" max="5122" width="15.6640625" style="10" customWidth="1"/>
    <col min="5123" max="5123" width="12.88671875" style="10" customWidth="1"/>
    <col min="5124" max="5124" width="12.109375" style="10" customWidth="1"/>
    <col min="5125" max="5125" width="7.6640625" style="10" customWidth="1"/>
    <col min="5126" max="5126" width="5.33203125" style="10" customWidth="1"/>
    <col min="5127" max="5127" width="28.6640625" style="10" customWidth="1"/>
    <col min="5128" max="5128" width="42.6640625" style="10" customWidth="1"/>
    <col min="5129" max="5376" width="9.109375" style="10"/>
    <col min="5377" max="5377" width="10.88671875" style="10" customWidth="1"/>
    <col min="5378" max="5378" width="15.6640625" style="10" customWidth="1"/>
    <col min="5379" max="5379" width="12.88671875" style="10" customWidth="1"/>
    <col min="5380" max="5380" width="12.109375" style="10" customWidth="1"/>
    <col min="5381" max="5381" width="7.6640625" style="10" customWidth="1"/>
    <col min="5382" max="5382" width="5.33203125" style="10" customWidth="1"/>
    <col min="5383" max="5383" width="28.6640625" style="10" customWidth="1"/>
    <col min="5384" max="5384" width="42.6640625" style="10" customWidth="1"/>
    <col min="5385" max="5632" width="9.109375" style="10"/>
    <col min="5633" max="5633" width="10.88671875" style="10" customWidth="1"/>
    <col min="5634" max="5634" width="15.6640625" style="10" customWidth="1"/>
    <col min="5635" max="5635" width="12.88671875" style="10" customWidth="1"/>
    <col min="5636" max="5636" width="12.109375" style="10" customWidth="1"/>
    <col min="5637" max="5637" width="7.6640625" style="10" customWidth="1"/>
    <col min="5638" max="5638" width="5.33203125" style="10" customWidth="1"/>
    <col min="5639" max="5639" width="28.6640625" style="10" customWidth="1"/>
    <col min="5640" max="5640" width="42.6640625" style="10" customWidth="1"/>
    <col min="5641" max="5888" width="9.109375" style="10"/>
    <col min="5889" max="5889" width="10.88671875" style="10" customWidth="1"/>
    <col min="5890" max="5890" width="15.6640625" style="10" customWidth="1"/>
    <col min="5891" max="5891" width="12.88671875" style="10" customWidth="1"/>
    <col min="5892" max="5892" width="12.109375" style="10" customWidth="1"/>
    <col min="5893" max="5893" width="7.6640625" style="10" customWidth="1"/>
    <col min="5894" max="5894" width="5.33203125" style="10" customWidth="1"/>
    <col min="5895" max="5895" width="28.6640625" style="10" customWidth="1"/>
    <col min="5896" max="5896" width="42.6640625" style="10" customWidth="1"/>
    <col min="5897" max="6144" width="9.109375" style="10"/>
    <col min="6145" max="6145" width="10.88671875" style="10" customWidth="1"/>
    <col min="6146" max="6146" width="15.6640625" style="10" customWidth="1"/>
    <col min="6147" max="6147" width="12.88671875" style="10" customWidth="1"/>
    <col min="6148" max="6148" width="12.109375" style="10" customWidth="1"/>
    <col min="6149" max="6149" width="7.6640625" style="10" customWidth="1"/>
    <col min="6150" max="6150" width="5.33203125" style="10" customWidth="1"/>
    <col min="6151" max="6151" width="28.6640625" style="10" customWidth="1"/>
    <col min="6152" max="6152" width="42.6640625" style="10" customWidth="1"/>
    <col min="6153" max="6400" width="9.109375" style="10"/>
    <col min="6401" max="6401" width="10.88671875" style="10" customWidth="1"/>
    <col min="6402" max="6402" width="15.6640625" style="10" customWidth="1"/>
    <col min="6403" max="6403" width="12.88671875" style="10" customWidth="1"/>
    <col min="6404" max="6404" width="12.109375" style="10" customWidth="1"/>
    <col min="6405" max="6405" width="7.6640625" style="10" customWidth="1"/>
    <col min="6406" max="6406" width="5.33203125" style="10" customWidth="1"/>
    <col min="6407" max="6407" width="28.6640625" style="10" customWidth="1"/>
    <col min="6408" max="6408" width="42.6640625" style="10" customWidth="1"/>
    <col min="6409" max="6656" width="9.109375" style="10"/>
    <col min="6657" max="6657" width="10.88671875" style="10" customWidth="1"/>
    <col min="6658" max="6658" width="15.6640625" style="10" customWidth="1"/>
    <col min="6659" max="6659" width="12.88671875" style="10" customWidth="1"/>
    <col min="6660" max="6660" width="12.109375" style="10" customWidth="1"/>
    <col min="6661" max="6661" width="7.6640625" style="10" customWidth="1"/>
    <col min="6662" max="6662" width="5.33203125" style="10" customWidth="1"/>
    <col min="6663" max="6663" width="28.6640625" style="10" customWidth="1"/>
    <col min="6664" max="6664" width="42.6640625" style="10" customWidth="1"/>
    <col min="6665" max="6912" width="9.109375" style="10"/>
    <col min="6913" max="6913" width="10.88671875" style="10" customWidth="1"/>
    <col min="6914" max="6914" width="15.6640625" style="10" customWidth="1"/>
    <col min="6915" max="6915" width="12.88671875" style="10" customWidth="1"/>
    <col min="6916" max="6916" width="12.109375" style="10" customWidth="1"/>
    <col min="6917" max="6917" width="7.6640625" style="10" customWidth="1"/>
    <col min="6918" max="6918" width="5.33203125" style="10" customWidth="1"/>
    <col min="6919" max="6919" width="28.6640625" style="10" customWidth="1"/>
    <col min="6920" max="6920" width="42.6640625" style="10" customWidth="1"/>
    <col min="6921" max="7168" width="9.109375" style="10"/>
    <col min="7169" max="7169" width="10.88671875" style="10" customWidth="1"/>
    <col min="7170" max="7170" width="15.6640625" style="10" customWidth="1"/>
    <col min="7171" max="7171" width="12.88671875" style="10" customWidth="1"/>
    <col min="7172" max="7172" width="12.109375" style="10" customWidth="1"/>
    <col min="7173" max="7173" width="7.6640625" style="10" customWidth="1"/>
    <col min="7174" max="7174" width="5.33203125" style="10" customWidth="1"/>
    <col min="7175" max="7175" width="28.6640625" style="10" customWidth="1"/>
    <col min="7176" max="7176" width="42.6640625" style="10" customWidth="1"/>
    <col min="7177" max="7424" width="9.109375" style="10"/>
    <col min="7425" max="7425" width="10.88671875" style="10" customWidth="1"/>
    <col min="7426" max="7426" width="15.6640625" style="10" customWidth="1"/>
    <col min="7427" max="7427" width="12.88671875" style="10" customWidth="1"/>
    <col min="7428" max="7428" width="12.109375" style="10" customWidth="1"/>
    <col min="7429" max="7429" width="7.6640625" style="10" customWidth="1"/>
    <col min="7430" max="7430" width="5.33203125" style="10" customWidth="1"/>
    <col min="7431" max="7431" width="28.6640625" style="10" customWidth="1"/>
    <col min="7432" max="7432" width="42.6640625" style="10" customWidth="1"/>
    <col min="7433" max="7680" width="9.109375" style="10"/>
    <col min="7681" max="7681" width="10.88671875" style="10" customWidth="1"/>
    <col min="7682" max="7682" width="15.6640625" style="10" customWidth="1"/>
    <col min="7683" max="7683" width="12.88671875" style="10" customWidth="1"/>
    <col min="7684" max="7684" width="12.109375" style="10" customWidth="1"/>
    <col min="7685" max="7685" width="7.6640625" style="10" customWidth="1"/>
    <col min="7686" max="7686" width="5.33203125" style="10" customWidth="1"/>
    <col min="7687" max="7687" width="28.6640625" style="10" customWidth="1"/>
    <col min="7688" max="7688" width="42.6640625" style="10" customWidth="1"/>
    <col min="7689" max="7936" width="9.109375" style="10"/>
    <col min="7937" max="7937" width="10.88671875" style="10" customWidth="1"/>
    <col min="7938" max="7938" width="15.6640625" style="10" customWidth="1"/>
    <col min="7939" max="7939" width="12.88671875" style="10" customWidth="1"/>
    <col min="7940" max="7940" width="12.109375" style="10" customWidth="1"/>
    <col min="7941" max="7941" width="7.6640625" style="10" customWidth="1"/>
    <col min="7942" max="7942" width="5.33203125" style="10" customWidth="1"/>
    <col min="7943" max="7943" width="28.6640625" style="10" customWidth="1"/>
    <col min="7944" max="7944" width="42.6640625" style="10" customWidth="1"/>
    <col min="7945" max="8192" width="9.109375" style="10"/>
    <col min="8193" max="8193" width="10.88671875" style="10" customWidth="1"/>
    <col min="8194" max="8194" width="15.6640625" style="10" customWidth="1"/>
    <col min="8195" max="8195" width="12.88671875" style="10" customWidth="1"/>
    <col min="8196" max="8196" width="12.109375" style="10" customWidth="1"/>
    <col min="8197" max="8197" width="7.6640625" style="10" customWidth="1"/>
    <col min="8198" max="8198" width="5.33203125" style="10" customWidth="1"/>
    <col min="8199" max="8199" width="28.6640625" style="10" customWidth="1"/>
    <col min="8200" max="8200" width="42.6640625" style="10" customWidth="1"/>
    <col min="8201" max="8448" width="9.109375" style="10"/>
    <col min="8449" max="8449" width="10.88671875" style="10" customWidth="1"/>
    <col min="8450" max="8450" width="15.6640625" style="10" customWidth="1"/>
    <col min="8451" max="8451" width="12.88671875" style="10" customWidth="1"/>
    <col min="8452" max="8452" width="12.109375" style="10" customWidth="1"/>
    <col min="8453" max="8453" width="7.6640625" style="10" customWidth="1"/>
    <col min="8454" max="8454" width="5.33203125" style="10" customWidth="1"/>
    <col min="8455" max="8455" width="28.6640625" style="10" customWidth="1"/>
    <col min="8456" max="8456" width="42.6640625" style="10" customWidth="1"/>
    <col min="8457" max="8704" width="9.109375" style="10"/>
    <col min="8705" max="8705" width="10.88671875" style="10" customWidth="1"/>
    <col min="8706" max="8706" width="15.6640625" style="10" customWidth="1"/>
    <col min="8707" max="8707" width="12.88671875" style="10" customWidth="1"/>
    <col min="8708" max="8708" width="12.109375" style="10" customWidth="1"/>
    <col min="8709" max="8709" width="7.6640625" style="10" customWidth="1"/>
    <col min="8710" max="8710" width="5.33203125" style="10" customWidth="1"/>
    <col min="8711" max="8711" width="28.6640625" style="10" customWidth="1"/>
    <col min="8712" max="8712" width="42.6640625" style="10" customWidth="1"/>
    <col min="8713" max="8960" width="9.109375" style="10"/>
    <col min="8961" max="8961" width="10.88671875" style="10" customWidth="1"/>
    <col min="8962" max="8962" width="15.6640625" style="10" customWidth="1"/>
    <col min="8963" max="8963" width="12.88671875" style="10" customWidth="1"/>
    <col min="8964" max="8964" width="12.109375" style="10" customWidth="1"/>
    <col min="8965" max="8965" width="7.6640625" style="10" customWidth="1"/>
    <col min="8966" max="8966" width="5.33203125" style="10" customWidth="1"/>
    <col min="8967" max="8967" width="28.6640625" style="10" customWidth="1"/>
    <col min="8968" max="8968" width="42.6640625" style="10" customWidth="1"/>
    <col min="8969" max="9216" width="9.109375" style="10"/>
    <col min="9217" max="9217" width="10.88671875" style="10" customWidth="1"/>
    <col min="9218" max="9218" width="15.6640625" style="10" customWidth="1"/>
    <col min="9219" max="9219" width="12.88671875" style="10" customWidth="1"/>
    <col min="9220" max="9220" width="12.109375" style="10" customWidth="1"/>
    <col min="9221" max="9221" width="7.6640625" style="10" customWidth="1"/>
    <col min="9222" max="9222" width="5.33203125" style="10" customWidth="1"/>
    <col min="9223" max="9223" width="28.6640625" style="10" customWidth="1"/>
    <col min="9224" max="9224" width="42.6640625" style="10" customWidth="1"/>
    <col min="9225" max="9472" width="9.109375" style="10"/>
    <col min="9473" max="9473" width="10.88671875" style="10" customWidth="1"/>
    <col min="9474" max="9474" width="15.6640625" style="10" customWidth="1"/>
    <col min="9475" max="9475" width="12.88671875" style="10" customWidth="1"/>
    <col min="9476" max="9476" width="12.109375" style="10" customWidth="1"/>
    <col min="9477" max="9477" width="7.6640625" style="10" customWidth="1"/>
    <col min="9478" max="9478" width="5.33203125" style="10" customWidth="1"/>
    <col min="9479" max="9479" width="28.6640625" style="10" customWidth="1"/>
    <col min="9480" max="9480" width="42.6640625" style="10" customWidth="1"/>
    <col min="9481" max="9728" width="9.109375" style="10"/>
    <col min="9729" max="9729" width="10.88671875" style="10" customWidth="1"/>
    <col min="9730" max="9730" width="15.6640625" style="10" customWidth="1"/>
    <col min="9731" max="9731" width="12.88671875" style="10" customWidth="1"/>
    <col min="9732" max="9732" width="12.109375" style="10" customWidth="1"/>
    <col min="9733" max="9733" width="7.6640625" style="10" customWidth="1"/>
    <col min="9734" max="9734" width="5.33203125" style="10" customWidth="1"/>
    <col min="9735" max="9735" width="28.6640625" style="10" customWidth="1"/>
    <col min="9736" max="9736" width="42.6640625" style="10" customWidth="1"/>
    <col min="9737" max="9984" width="9.109375" style="10"/>
    <col min="9985" max="9985" width="10.88671875" style="10" customWidth="1"/>
    <col min="9986" max="9986" width="15.6640625" style="10" customWidth="1"/>
    <col min="9987" max="9987" width="12.88671875" style="10" customWidth="1"/>
    <col min="9988" max="9988" width="12.109375" style="10" customWidth="1"/>
    <col min="9989" max="9989" width="7.6640625" style="10" customWidth="1"/>
    <col min="9990" max="9990" width="5.33203125" style="10" customWidth="1"/>
    <col min="9991" max="9991" width="28.6640625" style="10" customWidth="1"/>
    <col min="9992" max="9992" width="42.6640625" style="10" customWidth="1"/>
    <col min="9993" max="10240" width="9.109375" style="10"/>
    <col min="10241" max="10241" width="10.88671875" style="10" customWidth="1"/>
    <col min="10242" max="10242" width="15.6640625" style="10" customWidth="1"/>
    <col min="10243" max="10243" width="12.88671875" style="10" customWidth="1"/>
    <col min="10244" max="10244" width="12.109375" style="10" customWidth="1"/>
    <col min="10245" max="10245" width="7.6640625" style="10" customWidth="1"/>
    <col min="10246" max="10246" width="5.33203125" style="10" customWidth="1"/>
    <col min="10247" max="10247" width="28.6640625" style="10" customWidth="1"/>
    <col min="10248" max="10248" width="42.6640625" style="10" customWidth="1"/>
    <col min="10249" max="10496" width="9.109375" style="10"/>
    <col min="10497" max="10497" width="10.88671875" style="10" customWidth="1"/>
    <col min="10498" max="10498" width="15.6640625" style="10" customWidth="1"/>
    <col min="10499" max="10499" width="12.88671875" style="10" customWidth="1"/>
    <col min="10500" max="10500" width="12.109375" style="10" customWidth="1"/>
    <col min="10501" max="10501" width="7.6640625" style="10" customWidth="1"/>
    <col min="10502" max="10502" width="5.33203125" style="10" customWidth="1"/>
    <col min="10503" max="10503" width="28.6640625" style="10" customWidth="1"/>
    <col min="10504" max="10504" width="42.6640625" style="10" customWidth="1"/>
    <col min="10505" max="10752" width="9.109375" style="10"/>
    <col min="10753" max="10753" width="10.88671875" style="10" customWidth="1"/>
    <col min="10754" max="10754" width="15.6640625" style="10" customWidth="1"/>
    <col min="10755" max="10755" width="12.88671875" style="10" customWidth="1"/>
    <col min="10756" max="10756" width="12.109375" style="10" customWidth="1"/>
    <col min="10757" max="10757" width="7.6640625" style="10" customWidth="1"/>
    <col min="10758" max="10758" width="5.33203125" style="10" customWidth="1"/>
    <col min="10759" max="10759" width="28.6640625" style="10" customWidth="1"/>
    <col min="10760" max="10760" width="42.6640625" style="10" customWidth="1"/>
    <col min="10761" max="11008" width="9.109375" style="10"/>
    <col min="11009" max="11009" width="10.88671875" style="10" customWidth="1"/>
    <col min="11010" max="11010" width="15.6640625" style="10" customWidth="1"/>
    <col min="11011" max="11011" width="12.88671875" style="10" customWidth="1"/>
    <col min="11012" max="11012" width="12.109375" style="10" customWidth="1"/>
    <col min="11013" max="11013" width="7.6640625" style="10" customWidth="1"/>
    <col min="11014" max="11014" width="5.33203125" style="10" customWidth="1"/>
    <col min="11015" max="11015" width="28.6640625" style="10" customWidth="1"/>
    <col min="11016" max="11016" width="42.6640625" style="10" customWidth="1"/>
    <col min="11017" max="11264" width="9.109375" style="10"/>
    <col min="11265" max="11265" width="10.88671875" style="10" customWidth="1"/>
    <col min="11266" max="11266" width="15.6640625" style="10" customWidth="1"/>
    <col min="11267" max="11267" width="12.88671875" style="10" customWidth="1"/>
    <col min="11268" max="11268" width="12.109375" style="10" customWidth="1"/>
    <col min="11269" max="11269" width="7.6640625" style="10" customWidth="1"/>
    <col min="11270" max="11270" width="5.33203125" style="10" customWidth="1"/>
    <col min="11271" max="11271" width="28.6640625" style="10" customWidth="1"/>
    <col min="11272" max="11272" width="42.6640625" style="10" customWidth="1"/>
    <col min="11273" max="11520" width="9.109375" style="10"/>
    <col min="11521" max="11521" width="10.88671875" style="10" customWidth="1"/>
    <col min="11522" max="11522" width="15.6640625" style="10" customWidth="1"/>
    <col min="11523" max="11523" width="12.88671875" style="10" customWidth="1"/>
    <col min="11524" max="11524" width="12.109375" style="10" customWidth="1"/>
    <col min="11525" max="11525" width="7.6640625" style="10" customWidth="1"/>
    <col min="11526" max="11526" width="5.33203125" style="10" customWidth="1"/>
    <col min="11527" max="11527" width="28.6640625" style="10" customWidth="1"/>
    <col min="11528" max="11528" width="42.6640625" style="10" customWidth="1"/>
    <col min="11529" max="11776" width="9.109375" style="10"/>
    <col min="11777" max="11777" width="10.88671875" style="10" customWidth="1"/>
    <col min="11778" max="11778" width="15.6640625" style="10" customWidth="1"/>
    <col min="11779" max="11779" width="12.88671875" style="10" customWidth="1"/>
    <col min="11780" max="11780" width="12.109375" style="10" customWidth="1"/>
    <col min="11781" max="11781" width="7.6640625" style="10" customWidth="1"/>
    <col min="11782" max="11782" width="5.33203125" style="10" customWidth="1"/>
    <col min="11783" max="11783" width="28.6640625" style="10" customWidth="1"/>
    <col min="11784" max="11784" width="42.6640625" style="10" customWidth="1"/>
    <col min="11785" max="12032" width="9.109375" style="10"/>
    <col min="12033" max="12033" width="10.88671875" style="10" customWidth="1"/>
    <col min="12034" max="12034" width="15.6640625" style="10" customWidth="1"/>
    <col min="12035" max="12035" width="12.88671875" style="10" customWidth="1"/>
    <col min="12036" max="12036" width="12.109375" style="10" customWidth="1"/>
    <col min="12037" max="12037" width="7.6640625" style="10" customWidth="1"/>
    <col min="12038" max="12038" width="5.33203125" style="10" customWidth="1"/>
    <col min="12039" max="12039" width="28.6640625" style="10" customWidth="1"/>
    <col min="12040" max="12040" width="42.6640625" style="10" customWidth="1"/>
    <col min="12041" max="12288" width="9.109375" style="10"/>
    <col min="12289" max="12289" width="10.88671875" style="10" customWidth="1"/>
    <col min="12290" max="12290" width="15.6640625" style="10" customWidth="1"/>
    <col min="12291" max="12291" width="12.88671875" style="10" customWidth="1"/>
    <col min="12292" max="12292" width="12.109375" style="10" customWidth="1"/>
    <col min="12293" max="12293" width="7.6640625" style="10" customWidth="1"/>
    <col min="12294" max="12294" width="5.33203125" style="10" customWidth="1"/>
    <col min="12295" max="12295" width="28.6640625" style="10" customWidth="1"/>
    <col min="12296" max="12296" width="42.6640625" style="10" customWidth="1"/>
    <col min="12297" max="12544" width="9.109375" style="10"/>
    <col min="12545" max="12545" width="10.88671875" style="10" customWidth="1"/>
    <col min="12546" max="12546" width="15.6640625" style="10" customWidth="1"/>
    <col min="12547" max="12547" width="12.88671875" style="10" customWidth="1"/>
    <col min="12548" max="12548" width="12.109375" style="10" customWidth="1"/>
    <col min="12549" max="12549" width="7.6640625" style="10" customWidth="1"/>
    <col min="12550" max="12550" width="5.33203125" style="10" customWidth="1"/>
    <col min="12551" max="12551" width="28.6640625" style="10" customWidth="1"/>
    <col min="12552" max="12552" width="42.6640625" style="10" customWidth="1"/>
    <col min="12553" max="12800" width="9.109375" style="10"/>
    <col min="12801" max="12801" width="10.88671875" style="10" customWidth="1"/>
    <col min="12802" max="12802" width="15.6640625" style="10" customWidth="1"/>
    <col min="12803" max="12803" width="12.88671875" style="10" customWidth="1"/>
    <col min="12804" max="12804" width="12.109375" style="10" customWidth="1"/>
    <col min="12805" max="12805" width="7.6640625" style="10" customWidth="1"/>
    <col min="12806" max="12806" width="5.33203125" style="10" customWidth="1"/>
    <col min="12807" max="12807" width="28.6640625" style="10" customWidth="1"/>
    <col min="12808" max="12808" width="42.6640625" style="10" customWidth="1"/>
    <col min="12809" max="13056" width="9.109375" style="10"/>
    <col min="13057" max="13057" width="10.88671875" style="10" customWidth="1"/>
    <col min="13058" max="13058" width="15.6640625" style="10" customWidth="1"/>
    <col min="13059" max="13059" width="12.88671875" style="10" customWidth="1"/>
    <col min="13060" max="13060" width="12.109375" style="10" customWidth="1"/>
    <col min="13061" max="13061" width="7.6640625" style="10" customWidth="1"/>
    <col min="13062" max="13062" width="5.33203125" style="10" customWidth="1"/>
    <col min="13063" max="13063" width="28.6640625" style="10" customWidth="1"/>
    <col min="13064" max="13064" width="42.6640625" style="10" customWidth="1"/>
    <col min="13065" max="13312" width="9.109375" style="10"/>
    <col min="13313" max="13313" width="10.88671875" style="10" customWidth="1"/>
    <col min="13314" max="13314" width="15.6640625" style="10" customWidth="1"/>
    <col min="13315" max="13315" width="12.88671875" style="10" customWidth="1"/>
    <col min="13316" max="13316" width="12.109375" style="10" customWidth="1"/>
    <col min="13317" max="13317" width="7.6640625" style="10" customWidth="1"/>
    <col min="13318" max="13318" width="5.33203125" style="10" customWidth="1"/>
    <col min="13319" max="13319" width="28.6640625" style="10" customWidth="1"/>
    <col min="13320" max="13320" width="42.6640625" style="10" customWidth="1"/>
    <col min="13321" max="13568" width="9.109375" style="10"/>
    <col min="13569" max="13569" width="10.88671875" style="10" customWidth="1"/>
    <col min="13570" max="13570" width="15.6640625" style="10" customWidth="1"/>
    <col min="13571" max="13571" width="12.88671875" style="10" customWidth="1"/>
    <col min="13572" max="13572" width="12.109375" style="10" customWidth="1"/>
    <col min="13573" max="13573" width="7.6640625" style="10" customWidth="1"/>
    <col min="13574" max="13574" width="5.33203125" style="10" customWidth="1"/>
    <col min="13575" max="13575" width="28.6640625" style="10" customWidth="1"/>
    <col min="13576" max="13576" width="42.6640625" style="10" customWidth="1"/>
    <col min="13577" max="13824" width="9.109375" style="10"/>
    <col min="13825" max="13825" width="10.88671875" style="10" customWidth="1"/>
    <col min="13826" max="13826" width="15.6640625" style="10" customWidth="1"/>
    <col min="13827" max="13827" width="12.88671875" style="10" customWidth="1"/>
    <col min="13828" max="13828" width="12.109375" style="10" customWidth="1"/>
    <col min="13829" max="13829" width="7.6640625" style="10" customWidth="1"/>
    <col min="13830" max="13830" width="5.33203125" style="10" customWidth="1"/>
    <col min="13831" max="13831" width="28.6640625" style="10" customWidth="1"/>
    <col min="13832" max="13832" width="42.6640625" style="10" customWidth="1"/>
    <col min="13833" max="14080" width="9.109375" style="10"/>
    <col min="14081" max="14081" width="10.88671875" style="10" customWidth="1"/>
    <col min="14082" max="14082" width="15.6640625" style="10" customWidth="1"/>
    <col min="14083" max="14083" width="12.88671875" style="10" customWidth="1"/>
    <col min="14084" max="14084" width="12.109375" style="10" customWidth="1"/>
    <col min="14085" max="14085" width="7.6640625" style="10" customWidth="1"/>
    <col min="14086" max="14086" width="5.33203125" style="10" customWidth="1"/>
    <col min="14087" max="14087" width="28.6640625" style="10" customWidth="1"/>
    <col min="14088" max="14088" width="42.6640625" style="10" customWidth="1"/>
    <col min="14089" max="14336" width="9.109375" style="10"/>
    <col min="14337" max="14337" width="10.88671875" style="10" customWidth="1"/>
    <col min="14338" max="14338" width="15.6640625" style="10" customWidth="1"/>
    <col min="14339" max="14339" width="12.88671875" style="10" customWidth="1"/>
    <col min="14340" max="14340" width="12.109375" style="10" customWidth="1"/>
    <col min="14341" max="14341" width="7.6640625" style="10" customWidth="1"/>
    <col min="14342" max="14342" width="5.33203125" style="10" customWidth="1"/>
    <col min="14343" max="14343" width="28.6640625" style="10" customWidth="1"/>
    <col min="14344" max="14344" width="42.6640625" style="10" customWidth="1"/>
    <col min="14345" max="14592" width="9.109375" style="10"/>
    <col min="14593" max="14593" width="10.88671875" style="10" customWidth="1"/>
    <col min="14594" max="14594" width="15.6640625" style="10" customWidth="1"/>
    <col min="14595" max="14595" width="12.88671875" style="10" customWidth="1"/>
    <col min="14596" max="14596" width="12.109375" style="10" customWidth="1"/>
    <col min="14597" max="14597" width="7.6640625" style="10" customWidth="1"/>
    <col min="14598" max="14598" width="5.33203125" style="10" customWidth="1"/>
    <col min="14599" max="14599" width="28.6640625" style="10" customWidth="1"/>
    <col min="14600" max="14600" width="42.6640625" style="10" customWidth="1"/>
    <col min="14601" max="14848" width="9.109375" style="10"/>
    <col min="14849" max="14849" width="10.88671875" style="10" customWidth="1"/>
    <col min="14850" max="14850" width="15.6640625" style="10" customWidth="1"/>
    <col min="14851" max="14851" width="12.88671875" style="10" customWidth="1"/>
    <col min="14852" max="14852" width="12.109375" style="10" customWidth="1"/>
    <col min="14853" max="14853" width="7.6640625" style="10" customWidth="1"/>
    <col min="14854" max="14854" width="5.33203125" style="10" customWidth="1"/>
    <col min="14855" max="14855" width="28.6640625" style="10" customWidth="1"/>
    <col min="14856" max="14856" width="42.6640625" style="10" customWidth="1"/>
    <col min="14857" max="15104" width="9.109375" style="10"/>
    <col min="15105" max="15105" width="10.88671875" style="10" customWidth="1"/>
    <col min="15106" max="15106" width="15.6640625" style="10" customWidth="1"/>
    <col min="15107" max="15107" width="12.88671875" style="10" customWidth="1"/>
    <col min="15108" max="15108" width="12.109375" style="10" customWidth="1"/>
    <col min="15109" max="15109" width="7.6640625" style="10" customWidth="1"/>
    <col min="15110" max="15110" width="5.33203125" style="10" customWidth="1"/>
    <col min="15111" max="15111" width="28.6640625" style="10" customWidth="1"/>
    <col min="15112" max="15112" width="42.6640625" style="10" customWidth="1"/>
    <col min="15113" max="15360" width="9.109375" style="10"/>
    <col min="15361" max="15361" width="10.88671875" style="10" customWidth="1"/>
    <col min="15362" max="15362" width="15.6640625" style="10" customWidth="1"/>
    <col min="15363" max="15363" width="12.88671875" style="10" customWidth="1"/>
    <col min="15364" max="15364" width="12.109375" style="10" customWidth="1"/>
    <col min="15365" max="15365" width="7.6640625" style="10" customWidth="1"/>
    <col min="15366" max="15366" width="5.33203125" style="10" customWidth="1"/>
    <col min="15367" max="15367" width="28.6640625" style="10" customWidth="1"/>
    <col min="15368" max="15368" width="42.6640625" style="10" customWidth="1"/>
    <col min="15369" max="15616" width="9.109375" style="10"/>
    <col min="15617" max="15617" width="10.88671875" style="10" customWidth="1"/>
    <col min="15618" max="15618" width="15.6640625" style="10" customWidth="1"/>
    <col min="15619" max="15619" width="12.88671875" style="10" customWidth="1"/>
    <col min="15620" max="15620" width="12.109375" style="10" customWidth="1"/>
    <col min="15621" max="15621" width="7.6640625" style="10" customWidth="1"/>
    <col min="15622" max="15622" width="5.33203125" style="10" customWidth="1"/>
    <col min="15623" max="15623" width="28.6640625" style="10" customWidth="1"/>
    <col min="15624" max="15624" width="42.6640625" style="10" customWidth="1"/>
    <col min="15625" max="15872" width="9.109375" style="10"/>
    <col min="15873" max="15873" width="10.88671875" style="10" customWidth="1"/>
    <col min="15874" max="15874" width="15.6640625" style="10" customWidth="1"/>
    <col min="15875" max="15875" width="12.88671875" style="10" customWidth="1"/>
    <col min="15876" max="15876" width="12.109375" style="10" customWidth="1"/>
    <col min="15877" max="15877" width="7.6640625" style="10" customWidth="1"/>
    <col min="15878" max="15878" width="5.33203125" style="10" customWidth="1"/>
    <col min="15879" max="15879" width="28.6640625" style="10" customWidth="1"/>
    <col min="15880" max="15880" width="42.6640625" style="10" customWidth="1"/>
    <col min="15881" max="16128" width="9.109375" style="10"/>
    <col min="16129" max="16129" width="10.88671875" style="10" customWidth="1"/>
    <col min="16130" max="16130" width="15.6640625" style="10" customWidth="1"/>
    <col min="16131" max="16131" width="12.88671875" style="10" customWidth="1"/>
    <col min="16132" max="16132" width="12.109375" style="10" customWidth="1"/>
    <col min="16133" max="16133" width="7.6640625" style="10" customWidth="1"/>
    <col min="16134" max="16134" width="5.33203125" style="10" customWidth="1"/>
    <col min="16135" max="16135" width="28.6640625" style="10" customWidth="1"/>
    <col min="16136" max="16136" width="42.6640625" style="10" customWidth="1"/>
    <col min="16137" max="16384" width="9.109375" style="10"/>
  </cols>
  <sheetData>
    <row r="1" spans="1:8" ht="15.75" customHeight="1">
      <c r="A1" s="1110" t="s">
        <v>336</v>
      </c>
      <c r="B1" s="1560"/>
      <c r="C1" s="1560"/>
      <c r="D1" s="1560"/>
      <c r="E1" s="1560"/>
      <c r="F1" s="1560"/>
      <c r="G1" s="1560"/>
      <c r="H1" s="1561"/>
    </row>
    <row r="2" spans="1:8" ht="15.75" customHeight="1">
      <c r="A2" s="343" t="str">
        <f>'F1 Forecast Combined'!E3</f>
        <v>X.002-180-2024/1RF</v>
      </c>
      <c r="B2" s="344"/>
      <c r="C2" s="344"/>
      <c r="D2" s="344"/>
      <c r="E2" s="344"/>
      <c r="F2" s="344"/>
      <c r="G2" s="344"/>
      <c r="H2" s="345"/>
    </row>
    <row r="3" spans="1:8" ht="15.75" customHeight="1" thickBot="1">
      <c r="A3" s="346"/>
      <c r="B3" s="347"/>
      <c r="C3" s="347"/>
      <c r="D3" s="347"/>
      <c r="E3" s="347"/>
      <c r="F3" s="347"/>
      <c r="G3" s="347"/>
      <c r="H3" s="348"/>
    </row>
    <row r="4" spans="1:8" ht="31.5" customHeight="1">
      <c r="A4" s="349" t="s">
        <v>337</v>
      </c>
      <c r="B4" s="1562"/>
      <c r="C4" s="1562"/>
      <c r="D4" s="1562"/>
      <c r="E4" s="1563" t="s">
        <v>338</v>
      </c>
      <c r="F4" s="1416"/>
      <c r="G4" s="1564"/>
      <c r="H4" s="1565"/>
    </row>
    <row r="5" spans="1:8" ht="31.5" customHeight="1">
      <c r="A5" s="350" t="s">
        <v>339</v>
      </c>
      <c r="B5" s="1566"/>
      <c r="C5" s="1566"/>
      <c r="D5" s="1566"/>
      <c r="E5" s="1449" t="s">
        <v>340</v>
      </c>
      <c r="F5" s="1410"/>
      <c r="G5" s="1567"/>
      <c r="H5" s="1568"/>
    </row>
    <row r="6" spans="1:8" ht="31.5" customHeight="1" thickBot="1">
      <c r="A6" s="350" t="s">
        <v>341</v>
      </c>
      <c r="B6" s="1570"/>
      <c r="C6" s="1570"/>
      <c r="D6" s="1570"/>
      <c r="E6" s="1449" t="s">
        <v>342</v>
      </c>
      <c r="F6" s="1410"/>
      <c r="G6" s="1567"/>
      <c r="H6" s="1568"/>
    </row>
    <row r="7" spans="1:8" ht="21.75" customHeight="1">
      <c r="A7" s="1571" t="s">
        <v>204</v>
      </c>
      <c r="B7" s="1573" t="s">
        <v>343</v>
      </c>
      <c r="C7" s="1399" t="s">
        <v>344</v>
      </c>
      <c r="D7" s="1400"/>
      <c r="E7" s="1400"/>
      <c r="F7" s="1401"/>
      <c r="G7" s="1575" t="s">
        <v>345</v>
      </c>
      <c r="H7" s="1577" t="s">
        <v>346</v>
      </c>
    </row>
    <row r="8" spans="1:8" ht="27" customHeight="1" thickBot="1">
      <c r="A8" s="1572"/>
      <c r="B8" s="1574"/>
      <c r="C8" s="351" t="s">
        <v>347</v>
      </c>
      <c r="D8" s="352" t="s">
        <v>348</v>
      </c>
      <c r="E8" s="1579" t="s">
        <v>349</v>
      </c>
      <c r="F8" s="1579"/>
      <c r="G8" s="1576"/>
      <c r="H8" s="1578"/>
    </row>
    <row r="9" spans="1:8" ht="24.9" customHeight="1">
      <c r="A9" s="474" t="s">
        <v>350</v>
      </c>
      <c r="B9" s="471"/>
      <c r="C9" s="353"/>
      <c r="D9" s="353"/>
      <c r="E9" s="1580"/>
      <c r="F9" s="1580"/>
      <c r="G9" s="353"/>
      <c r="H9" s="354"/>
    </row>
    <row r="10" spans="1:8" ht="24.9" customHeight="1">
      <c r="A10" s="475">
        <v>1</v>
      </c>
      <c r="B10" s="472"/>
      <c r="C10" s="356"/>
      <c r="D10" s="356"/>
      <c r="E10" s="1569"/>
      <c r="F10" s="1569"/>
      <c r="G10" s="355"/>
      <c r="H10" s="357"/>
    </row>
    <row r="11" spans="1:8" ht="24.9" customHeight="1">
      <c r="A11" s="475">
        <v>2</v>
      </c>
      <c r="B11" s="472"/>
      <c r="C11" s="356"/>
      <c r="D11" s="356"/>
      <c r="E11" s="1569"/>
      <c r="F11" s="1569"/>
      <c r="G11" s="355"/>
      <c r="H11" s="357"/>
    </row>
    <row r="12" spans="1:8" ht="24.9" customHeight="1">
      <c r="A12" s="475">
        <v>3</v>
      </c>
      <c r="B12" s="472"/>
      <c r="C12" s="356"/>
      <c r="D12" s="356"/>
      <c r="E12" s="1569"/>
      <c r="F12" s="1569"/>
      <c r="G12" s="355"/>
      <c r="H12" s="357"/>
    </row>
    <row r="13" spans="1:8" ht="24.9" customHeight="1">
      <c r="A13" s="475">
        <v>4</v>
      </c>
      <c r="B13" s="472"/>
      <c r="C13" s="356"/>
      <c r="D13" s="356"/>
      <c r="E13" s="1569"/>
      <c r="F13" s="1569"/>
      <c r="G13" s="355"/>
      <c r="H13" s="357"/>
    </row>
    <row r="14" spans="1:8" ht="24.9" customHeight="1">
      <c r="A14" s="475">
        <v>5</v>
      </c>
      <c r="B14" s="472"/>
      <c r="C14" s="356"/>
      <c r="D14" s="356"/>
      <c r="E14" s="1569"/>
      <c r="F14" s="1569"/>
      <c r="G14" s="355"/>
      <c r="H14" s="357"/>
    </row>
    <row r="15" spans="1:8" ht="24.9" customHeight="1">
      <c r="A15" s="475">
        <v>6</v>
      </c>
      <c r="B15" s="472"/>
      <c r="C15" s="356"/>
      <c r="D15" s="356"/>
      <c r="E15" s="1569"/>
      <c r="F15" s="1569"/>
      <c r="G15" s="355"/>
      <c r="H15" s="357"/>
    </row>
    <row r="16" spans="1:8" ht="24.9" customHeight="1">
      <c r="A16" s="475">
        <v>7</v>
      </c>
      <c r="B16" s="472"/>
      <c r="C16" s="356"/>
      <c r="D16" s="356"/>
      <c r="E16" s="1569"/>
      <c r="F16" s="1569"/>
      <c r="G16" s="355"/>
      <c r="H16" s="357"/>
    </row>
    <row r="17" spans="1:8" ht="24.9" customHeight="1">
      <c r="A17" s="475">
        <v>8</v>
      </c>
      <c r="B17" s="472"/>
      <c r="C17" s="356"/>
      <c r="D17" s="356"/>
      <c r="E17" s="1569"/>
      <c r="F17" s="1569"/>
      <c r="G17" s="355"/>
      <c r="H17" s="357"/>
    </row>
    <row r="18" spans="1:8" ht="24.9" customHeight="1">
      <c r="A18" s="475">
        <v>9</v>
      </c>
      <c r="B18" s="472"/>
      <c r="C18" s="356"/>
      <c r="D18" s="356"/>
      <c r="E18" s="1569"/>
      <c r="F18" s="1569"/>
      <c r="G18" s="355"/>
      <c r="H18" s="357"/>
    </row>
    <row r="19" spans="1:8" ht="24.9" customHeight="1">
      <c r="A19" s="475">
        <v>10</v>
      </c>
      <c r="B19" s="472"/>
      <c r="C19" s="356"/>
      <c r="D19" s="356"/>
      <c r="E19" s="1569"/>
      <c r="F19" s="1569"/>
      <c r="G19" s="355"/>
      <c r="H19" s="357"/>
    </row>
    <row r="20" spans="1:8" ht="24.9" customHeight="1">
      <c r="A20" s="475">
        <v>11</v>
      </c>
      <c r="B20" s="472"/>
      <c r="C20" s="356"/>
      <c r="D20" s="356"/>
      <c r="E20" s="1569"/>
      <c r="F20" s="1569"/>
      <c r="G20" s="355"/>
      <c r="H20" s="357"/>
    </row>
    <row r="21" spans="1:8" ht="24.9" customHeight="1">
      <c r="A21" s="475">
        <v>12</v>
      </c>
      <c r="B21" s="472"/>
      <c r="C21" s="356"/>
      <c r="D21" s="356"/>
      <c r="E21" s="1569"/>
      <c r="F21" s="1569"/>
      <c r="G21" s="355"/>
      <c r="H21" s="357"/>
    </row>
    <row r="22" spans="1:8" ht="24.9" customHeight="1">
      <c r="A22" s="475">
        <v>13</v>
      </c>
      <c r="B22" s="472"/>
      <c r="C22" s="356"/>
      <c r="D22" s="356"/>
      <c r="E22" s="1569"/>
      <c r="F22" s="1569"/>
      <c r="G22" s="355"/>
      <c r="H22" s="357"/>
    </row>
    <row r="23" spans="1:8" ht="24.9" customHeight="1">
      <c r="A23" s="475">
        <v>14</v>
      </c>
      <c r="B23" s="472"/>
      <c r="C23" s="356"/>
      <c r="D23" s="356"/>
      <c r="E23" s="1569"/>
      <c r="F23" s="1569"/>
      <c r="G23" s="355"/>
      <c r="H23" s="357"/>
    </row>
    <row r="24" spans="1:8" ht="24.9" customHeight="1">
      <c r="A24" s="475">
        <v>15</v>
      </c>
      <c r="B24" s="472"/>
      <c r="C24" s="356"/>
      <c r="D24" s="356"/>
      <c r="E24" s="1569"/>
      <c r="F24" s="1569"/>
      <c r="G24" s="355"/>
      <c r="H24" s="357"/>
    </row>
    <row r="25" spans="1:8" ht="24.9" customHeight="1">
      <c r="A25" s="475">
        <v>16</v>
      </c>
      <c r="B25" s="472"/>
      <c r="C25" s="356"/>
      <c r="D25" s="356"/>
      <c r="E25" s="1569"/>
      <c r="F25" s="1569"/>
      <c r="G25" s="355"/>
      <c r="H25" s="357"/>
    </row>
    <row r="26" spans="1:8" ht="24.9" customHeight="1">
      <c r="A26" s="475">
        <v>17</v>
      </c>
      <c r="B26" s="472"/>
      <c r="C26" s="356"/>
      <c r="D26" s="356"/>
      <c r="E26" s="1569"/>
      <c r="F26" s="1569"/>
      <c r="G26" s="355"/>
      <c r="H26" s="357"/>
    </row>
    <row r="27" spans="1:8" ht="24.9" customHeight="1">
      <c r="A27" s="475">
        <v>18</v>
      </c>
      <c r="B27" s="472"/>
      <c r="C27" s="356"/>
      <c r="D27" s="356"/>
      <c r="E27" s="1569"/>
      <c r="F27" s="1569"/>
      <c r="G27" s="355"/>
      <c r="H27" s="357"/>
    </row>
    <row r="28" spans="1:8" ht="24.9" customHeight="1">
      <c r="A28" s="475">
        <v>19</v>
      </c>
      <c r="B28" s="472"/>
      <c r="C28" s="356"/>
      <c r="D28" s="356"/>
      <c r="E28" s="1569"/>
      <c r="F28" s="1569"/>
      <c r="G28" s="355"/>
      <c r="H28" s="357"/>
    </row>
    <row r="29" spans="1:8" ht="24.9" customHeight="1">
      <c r="A29" s="475">
        <v>20</v>
      </c>
      <c r="B29" s="472"/>
      <c r="C29" s="356"/>
      <c r="D29" s="356"/>
      <c r="E29" s="1569"/>
      <c r="F29" s="1569"/>
      <c r="G29" s="355"/>
      <c r="H29" s="357"/>
    </row>
    <row r="30" spans="1:8" ht="24.9" customHeight="1">
      <c r="A30" s="475">
        <v>21</v>
      </c>
      <c r="B30" s="472"/>
      <c r="C30" s="356"/>
      <c r="D30" s="356"/>
      <c r="E30" s="1569"/>
      <c r="F30" s="1569"/>
      <c r="G30" s="355"/>
      <c r="H30" s="357"/>
    </row>
    <row r="31" spans="1:8" ht="24.9" customHeight="1">
      <c r="A31" s="475">
        <v>22</v>
      </c>
      <c r="B31" s="472"/>
      <c r="C31" s="356"/>
      <c r="D31" s="356"/>
      <c r="E31" s="1569"/>
      <c r="F31" s="1569"/>
      <c r="G31" s="355"/>
      <c r="H31" s="357"/>
    </row>
    <row r="32" spans="1:8" ht="24.9" customHeight="1">
      <c r="A32" s="475">
        <v>23</v>
      </c>
      <c r="B32" s="472"/>
      <c r="C32" s="356"/>
      <c r="D32" s="356"/>
      <c r="E32" s="1569"/>
      <c r="F32" s="1569"/>
      <c r="G32" s="355"/>
      <c r="H32" s="357"/>
    </row>
    <row r="33" spans="1:8" ht="24.9" customHeight="1">
      <c r="A33" s="475">
        <v>24</v>
      </c>
      <c r="B33" s="472"/>
      <c r="C33" s="356"/>
      <c r="D33" s="356"/>
      <c r="E33" s="1569"/>
      <c r="F33" s="1569"/>
      <c r="G33" s="355"/>
      <c r="H33" s="357"/>
    </row>
    <row r="34" spans="1:8" ht="24.9" customHeight="1">
      <c r="A34" s="475">
        <v>25</v>
      </c>
      <c r="B34" s="472"/>
      <c r="C34" s="356"/>
      <c r="D34" s="356"/>
      <c r="E34" s="1569"/>
      <c r="F34" s="1569"/>
      <c r="G34" s="355"/>
      <c r="H34" s="357"/>
    </row>
    <row r="35" spans="1:8" ht="24.9" customHeight="1">
      <c r="A35" s="475">
        <v>26</v>
      </c>
      <c r="B35" s="472"/>
      <c r="C35" s="356"/>
      <c r="D35" s="356"/>
      <c r="E35" s="1569"/>
      <c r="F35" s="1569"/>
      <c r="G35" s="355"/>
      <c r="H35" s="357"/>
    </row>
    <row r="36" spans="1:8" ht="24.9" customHeight="1">
      <c r="A36" s="475">
        <v>27</v>
      </c>
      <c r="B36" s="472"/>
      <c r="C36" s="356"/>
      <c r="D36" s="356"/>
      <c r="E36" s="1569"/>
      <c r="F36" s="1569"/>
      <c r="G36" s="355"/>
      <c r="H36" s="357"/>
    </row>
    <row r="37" spans="1:8" ht="24.9" customHeight="1">
      <c r="A37" s="475">
        <v>28</v>
      </c>
      <c r="B37" s="472"/>
      <c r="C37" s="356"/>
      <c r="D37" s="356"/>
      <c r="E37" s="1569"/>
      <c r="F37" s="1569"/>
      <c r="G37" s="355"/>
      <c r="H37" s="357"/>
    </row>
    <row r="38" spans="1:8" ht="24.9" customHeight="1">
      <c r="A38" s="475">
        <v>29</v>
      </c>
      <c r="B38" s="472"/>
      <c r="C38" s="356"/>
      <c r="D38" s="356"/>
      <c r="E38" s="1569"/>
      <c r="F38" s="1569"/>
      <c r="G38" s="355"/>
      <c r="H38" s="357"/>
    </row>
    <row r="39" spans="1:8" ht="24.9" customHeight="1">
      <c r="A39" s="475">
        <v>30</v>
      </c>
      <c r="B39" s="472"/>
      <c r="C39" s="356"/>
      <c r="D39" s="356"/>
      <c r="E39" s="1569"/>
      <c r="F39" s="1569"/>
      <c r="G39" s="355"/>
      <c r="H39" s="357"/>
    </row>
    <row r="40" spans="1:8" ht="24.9" customHeight="1" thickBot="1">
      <c r="A40" s="476">
        <v>31</v>
      </c>
      <c r="B40" s="473"/>
      <c r="C40" s="359"/>
      <c r="D40" s="359"/>
      <c r="E40" s="1586"/>
      <c r="F40" s="1586"/>
      <c r="G40" s="358"/>
      <c r="H40" s="360"/>
    </row>
    <row r="41" spans="1:8" ht="24.9" customHeight="1" thickBot="1">
      <c r="A41" s="361" t="s">
        <v>221</v>
      </c>
      <c r="B41" s="477"/>
      <c r="C41" s="478">
        <f>SUM(C10:C40)</f>
        <v>0</v>
      </c>
      <c r="D41" s="478">
        <f>SUM(D10:D40)</f>
        <v>0</v>
      </c>
      <c r="E41" s="1587">
        <v>0</v>
      </c>
      <c r="F41" s="1587"/>
      <c r="G41" s="1588"/>
      <c r="H41" s="1589"/>
    </row>
    <row r="42" spans="1:8" ht="24.75" customHeight="1">
      <c r="A42" s="1590"/>
      <c r="B42" s="1495"/>
      <c r="C42" s="1495"/>
      <c r="D42" s="1495"/>
      <c r="E42" s="1495"/>
      <c r="F42" s="1495"/>
      <c r="G42" s="1495"/>
      <c r="H42" s="1591"/>
    </row>
    <row r="43" spans="1:8" ht="24.75" customHeight="1">
      <c r="A43" s="1592" t="s">
        <v>647</v>
      </c>
      <c r="B43" s="1593"/>
      <c r="C43" s="1594"/>
      <c r="D43" s="1594"/>
      <c r="E43" s="1595"/>
      <c r="F43" s="1595"/>
      <c r="G43" s="362" t="s">
        <v>351</v>
      </c>
      <c r="H43" s="363"/>
    </row>
    <row r="44" spans="1:8" ht="24.75" customHeight="1">
      <c r="A44" s="1584"/>
      <c r="B44" s="1488"/>
      <c r="C44" s="1488"/>
      <c r="D44" s="1488"/>
      <c r="E44" s="1488"/>
      <c r="F44" s="1488"/>
      <c r="G44" s="1488"/>
      <c r="H44" s="1585"/>
    </row>
    <row r="45" spans="1:8" ht="26.4" customHeight="1">
      <c r="A45" s="1592" t="s">
        <v>648</v>
      </c>
      <c r="B45" s="1593"/>
      <c r="C45" s="1594"/>
      <c r="D45" s="1594"/>
      <c r="E45" s="1595"/>
      <c r="F45" s="1595"/>
      <c r="G45" s="362" t="s">
        <v>351</v>
      </c>
      <c r="H45" s="363"/>
    </row>
    <row r="46" spans="1:8" ht="13.8" thickBot="1">
      <c r="A46" s="1581"/>
      <c r="B46" s="1582"/>
      <c r="C46" s="1582"/>
      <c r="D46" s="1582"/>
      <c r="E46" s="1582"/>
      <c r="F46" s="1582"/>
      <c r="G46" s="1582"/>
      <c r="H46" s="1583"/>
    </row>
  </sheetData>
  <mergeCells count="59">
    <mergeCell ref="E34:F34"/>
    <mergeCell ref="E35:F35"/>
    <mergeCell ref="E36:F36"/>
    <mergeCell ref="E37:F37"/>
    <mergeCell ref="A46:H46"/>
    <mergeCell ref="A44:H44"/>
    <mergeCell ref="E40:F40"/>
    <mergeCell ref="E41:F41"/>
    <mergeCell ref="G41:H41"/>
    <mergeCell ref="A42:H42"/>
    <mergeCell ref="A45:B45"/>
    <mergeCell ref="C45:D45"/>
    <mergeCell ref="E45:F45"/>
    <mergeCell ref="A43:B43"/>
    <mergeCell ref="C43:D43"/>
    <mergeCell ref="E43:F43"/>
    <mergeCell ref="E29:F29"/>
    <mergeCell ref="E30:F30"/>
    <mergeCell ref="E31:F31"/>
    <mergeCell ref="E32:F32"/>
    <mergeCell ref="E33:F33"/>
    <mergeCell ref="E39:F39"/>
    <mergeCell ref="E26:F26"/>
    <mergeCell ref="E15:F15"/>
    <mergeCell ref="E16:F16"/>
    <mergeCell ref="E17:F17"/>
    <mergeCell ref="E18:F18"/>
    <mergeCell ref="E19:F19"/>
    <mergeCell ref="E20:F20"/>
    <mergeCell ref="E21:F21"/>
    <mergeCell ref="E22:F22"/>
    <mergeCell ref="E23:F23"/>
    <mergeCell ref="E24:F24"/>
    <mergeCell ref="E25:F25"/>
    <mergeCell ref="E38:F38"/>
    <mergeCell ref="E27:F27"/>
    <mergeCell ref="E28:F28"/>
    <mergeCell ref="E14:F14"/>
    <mergeCell ref="B6:D6"/>
    <mergeCell ref="E6:F6"/>
    <mergeCell ref="G6:H6"/>
    <mergeCell ref="A7:A8"/>
    <mergeCell ref="B7:B8"/>
    <mergeCell ref="C7:F7"/>
    <mergeCell ref="G7:G8"/>
    <mergeCell ref="H7:H8"/>
    <mergeCell ref="E8:F8"/>
    <mergeCell ref="E9:F9"/>
    <mergeCell ref="E10:F10"/>
    <mergeCell ref="E11:F11"/>
    <mergeCell ref="E12:F12"/>
    <mergeCell ref="E13:F13"/>
    <mergeCell ref="A1:H1"/>
    <mergeCell ref="B4:D4"/>
    <mergeCell ref="E4:F4"/>
    <mergeCell ref="G4:H4"/>
    <mergeCell ref="B5:D5"/>
    <mergeCell ref="E5:F5"/>
    <mergeCell ref="G5:H5"/>
  </mergeCells>
  <pageMargins left="0.15748031496062992" right="0" top="0.53" bottom="0.41" header="0.34" footer="0.17"/>
  <pageSetup paperSize="9" scale="68" orientation="portrait" blackAndWhite="1" r:id="rId1"/>
  <headerFooter alignWithMargins="0">
    <oddHeader>&amp;L&amp;"Calibri"&amp;10&amp;K000000 Sensitivity - General&amp;1#_x000D_</oddHead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
  <dimension ref="A1:JS1070"/>
  <sheetViews>
    <sheetView zoomScale="90" zoomScaleNormal="90" workbookViewId="0"/>
  </sheetViews>
  <sheetFormatPr defaultColWidth="13.88671875" defaultRowHeight="14.4"/>
  <cols>
    <col min="1" max="2" width="13.88671875" style="963"/>
    <col min="3" max="3" width="15" style="963" customWidth="1"/>
    <col min="4" max="9" width="13.88671875" style="963"/>
    <col min="10" max="10" width="17.5546875" style="963" customWidth="1"/>
    <col min="11" max="16384" width="13.88671875" style="963"/>
  </cols>
  <sheetData>
    <row r="1" spans="1:26">
      <c r="B1" s="964" t="s">
        <v>662</v>
      </c>
      <c r="S1" s="963" t="s">
        <v>400</v>
      </c>
    </row>
    <row r="2" spans="1:26">
      <c r="A2" s="963">
        <v>1</v>
      </c>
      <c r="B2" s="963" t="s">
        <v>106</v>
      </c>
      <c r="S2" s="963" t="str">
        <f>A15</f>
        <v>30/09/2026</v>
      </c>
      <c r="T2" s="965" t="str">
        <f>S2</f>
        <v>30/09/2026</v>
      </c>
      <c r="U2" s="965" t="e">
        <f>VLOOKUP(1,$X$2:$Y$41,2,FALSE)</f>
        <v>#N/A</v>
      </c>
      <c r="W2" s="965">
        <v>41730</v>
      </c>
      <c r="X2" s="963">
        <f>IF($T$2&lt;W2,1,0)</f>
        <v>0</v>
      </c>
      <c r="Y2" s="965">
        <f>W2</f>
        <v>41730</v>
      </c>
      <c r="Z2" s="963" t="s">
        <v>138</v>
      </c>
    </row>
    <row r="3" spans="1:26">
      <c r="A3" s="963">
        <v>2</v>
      </c>
      <c r="B3" s="963" t="s">
        <v>107</v>
      </c>
      <c r="E3" s="963" t="s">
        <v>375</v>
      </c>
      <c r="F3" s="963" t="s">
        <v>375</v>
      </c>
      <c r="K3" s="963" t="s">
        <v>586</v>
      </c>
      <c r="W3" s="965">
        <v>42004</v>
      </c>
      <c r="X3" s="963">
        <f>IF(X2=1,0,IF($T$2&lt;W3,1,0))</f>
        <v>0</v>
      </c>
      <c r="Y3" s="965">
        <f>W2</f>
        <v>41730</v>
      </c>
    </row>
    <row r="4" spans="1:26">
      <c r="E4" s="965">
        <v>42401</v>
      </c>
      <c r="F4" s="965">
        <v>42095</v>
      </c>
      <c r="K4" s="963" t="s">
        <v>587</v>
      </c>
      <c r="W4" s="965">
        <f>W2+365</f>
        <v>42095</v>
      </c>
      <c r="X4" s="963">
        <f>IF(SUM($X$2:X3)=1,0,IF($T$2&lt;W4,1,0))</f>
        <v>0</v>
      </c>
      <c r="Y4" s="965">
        <f t="shared" ref="Y4:Y40" si="0">W4</f>
        <v>42095</v>
      </c>
      <c r="Z4" s="963" t="s">
        <v>139</v>
      </c>
    </row>
    <row r="5" spans="1:26">
      <c r="E5" s="965">
        <v>43862</v>
      </c>
      <c r="F5" s="965">
        <v>43556</v>
      </c>
      <c r="G5" s="910"/>
      <c r="H5" s="910"/>
      <c r="I5" s="910"/>
      <c r="J5" s="910"/>
      <c r="K5" s="963" t="s">
        <v>588</v>
      </c>
      <c r="P5" s="966"/>
      <c r="W5" s="965">
        <f>W3+365</f>
        <v>42369</v>
      </c>
      <c r="X5" s="963">
        <f>IF(SUM($X$2:X4)=1,0,IF($T$2&lt;W5,1,0))</f>
        <v>0</v>
      </c>
      <c r="Y5" s="965">
        <f>W4</f>
        <v>42095</v>
      </c>
    </row>
    <row r="6" spans="1:26">
      <c r="E6" s="965">
        <v>45323</v>
      </c>
      <c r="F6" s="965">
        <v>45017</v>
      </c>
      <c r="K6" s="963" t="s">
        <v>589</v>
      </c>
      <c r="P6" s="966"/>
      <c r="W6" s="965">
        <f>W4+366</f>
        <v>42461</v>
      </c>
      <c r="X6" s="963">
        <f>IF(SUM($X$2:X5)=1,0,IF($T$2&lt;W6,1,0))</f>
        <v>0</v>
      </c>
      <c r="Y6" s="965">
        <f t="shared" si="0"/>
        <v>42461</v>
      </c>
      <c r="Z6" s="963" t="s">
        <v>140</v>
      </c>
    </row>
    <row r="7" spans="1:26">
      <c r="B7" s="967"/>
      <c r="E7" s="965">
        <v>46784</v>
      </c>
      <c r="F7" s="965">
        <v>46478</v>
      </c>
      <c r="K7" s="963" t="s">
        <v>590</v>
      </c>
      <c r="P7" s="966"/>
      <c r="W7" s="965">
        <f>W5+366</f>
        <v>42735</v>
      </c>
      <c r="X7" s="963">
        <f>IF(SUM($X$2:X6)=1,0,IF($T$2&lt;W7,1,0))</f>
        <v>0</v>
      </c>
      <c r="Y7" s="965">
        <f t="shared" ref="Y7" si="1">W6</f>
        <v>42461</v>
      </c>
    </row>
    <row r="8" spans="1:26">
      <c r="B8" s="967"/>
      <c r="E8" s="965">
        <v>48245</v>
      </c>
      <c r="F8" s="965">
        <v>47939</v>
      </c>
      <c r="G8" s="968"/>
      <c r="H8" s="968"/>
      <c r="I8" s="968"/>
      <c r="J8" s="968"/>
      <c r="K8" s="963" t="s">
        <v>591</v>
      </c>
      <c r="O8" s="968"/>
      <c r="P8" s="968"/>
      <c r="Q8" s="968"/>
      <c r="R8" s="968"/>
      <c r="S8" s="968"/>
      <c r="W8" s="965">
        <f t="shared" ref="W8:W41" si="2">W6+365</f>
        <v>42826</v>
      </c>
      <c r="X8" s="963">
        <f>IF(SUM($X$2:X7)=1,0,IF($T$2&lt;W8,1,0))</f>
        <v>0</v>
      </c>
      <c r="Y8" s="965">
        <f t="shared" si="0"/>
        <v>42826</v>
      </c>
      <c r="Z8" s="963" t="s">
        <v>401</v>
      </c>
    </row>
    <row r="9" spans="1:26">
      <c r="B9" s="967"/>
      <c r="E9" s="965">
        <v>49706</v>
      </c>
      <c r="F9" s="965">
        <v>49400</v>
      </c>
      <c r="G9" s="968"/>
      <c r="H9" s="968"/>
      <c r="I9" s="968"/>
      <c r="J9" s="968"/>
      <c r="K9" s="963" t="s">
        <v>592</v>
      </c>
      <c r="L9" s="910"/>
      <c r="O9" s="969"/>
      <c r="P9" s="969"/>
      <c r="Q9" s="969"/>
      <c r="R9" s="969"/>
      <c r="S9" s="969"/>
      <c r="W9" s="965">
        <f t="shared" si="2"/>
        <v>43100</v>
      </c>
      <c r="X9" s="963">
        <f>IF(SUM($X$2:X8)=1,0,IF($T$2&lt;W9,1,0))</f>
        <v>0</v>
      </c>
      <c r="Y9" s="965">
        <f t="shared" ref="Y9" si="3">W8</f>
        <v>42826</v>
      </c>
    </row>
    <row r="10" spans="1:26">
      <c r="B10" s="967"/>
      <c r="E10" s="965">
        <v>51167</v>
      </c>
      <c r="F10" s="965">
        <v>50861</v>
      </c>
      <c r="G10" s="910"/>
      <c r="H10" s="910"/>
      <c r="I10" s="910"/>
      <c r="J10" s="910"/>
      <c r="K10" s="963" t="s">
        <v>593</v>
      </c>
      <c r="W10" s="965">
        <f t="shared" si="2"/>
        <v>43191</v>
      </c>
      <c r="X10" s="963">
        <f>IF(SUM($X$2:X9)=1,0,IF($T$2&lt;W10,1,0))</f>
        <v>0</v>
      </c>
      <c r="Y10" s="965">
        <f t="shared" si="0"/>
        <v>43191</v>
      </c>
      <c r="Z10" s="963" t="s">
        <v>402</v>
      </c>
    </row>
    <row r="11" spans="1:26">
      <c r="E11" s="965">
        <v>52628</v>
      </c>
      <c r="F11" s="965">
        <v>52322</v>
      </c>
      <c r="G11" s="911"/>
      <c r="H11" s="911"/>
      <c r="I11" s="911"/>
      <c r="J11" s="911"/>
      <c r="K11" s="963" t="s">
        <v>594</v>
      </c>
      <c r="L11" s="910"/>
      <c r="W11" s="965">
        <f t="shared" si="2"/>
        <v>43465</v>
      </c>
      <c r="X11" s="963">
        <f>IF(SUM($X$2:X10)=1,0,IF($T$2&lt;W11,1,0))</f>
        <v>0</v>
      </c>
      <c r="Y11" s="965">
        <f t="shared" ref="Y11" si="4">W10</f>
        <v>43191</v>
      </c>
    </row>
    <row r="12" spans="1:26">
      <c r="E12" s="965">
        <v>54089</v>
      </c>
      <c r="F12" s="965">
        <v>53783</v>
      </c>
      <c r="G12" s="910"/>
      <c r="H12" s="910"/>
      <c r="I12" s="910"/>
      <c r="J12" s="910"/>
      <c r="K12" s="963" t="s">
        <v>595</v>
      </c>
      <c r="W12" s="965">
        <f t="shared" si="2"/>
        <v>43556</v>
      </c>
      <c r="X12" s="963">
        <f>IF(SUM($X$2:X11)=1,0,IF($T$2&lt;W12,1,0))</f>
        <v>0</v>
      </c>
      <c r="Y12" s="965">
        <f t="shared" si="0"/>
        <v>43556</v>
      </c>
      <c r="Z12" s="963" t="s">
        <v>403</v>
      </c>
    </row>
    <row r="13" spans="1:26">
      <c r="A13" s="1596"/>
      <c r="B13" s="1596"/>
      <c r="C13" s="970"/>
      <c r="D13" s="912"/>
      <c r="E13" s="965">
        <v>55550</v>
      </c>
      <c r="F13" s="965">
        <v>55244</v>
      </c>
      <c r="K13" s="963" t="s">
        <v>596</v>
      </c>
      <c r="W13" s="965">
        <f t="shared" si="2"/>
        <v>43830</v>
      </c>
      <c r="X13" s="963">
        <f>IF(SUM($X$2:X12)=1,0,IF($T$2&lt;W13,1,0))</f>
        <v>0</v>
      </c>
      <c r="Y13" s="965">
        <f t="shared" ref="Y13" si="5">W12</f>
        <v>43556</v>
      </c>
    </row>
    <row r="14" spans="1:26">
      <c r="A14" s="963" t="s">
        <v>400</v>
      </c>
      <c r="G14" s="910"/>
      <c r="H14" s="910"/>
      <c r="I14" s="910"/>
      <c r="J14" s="910"/>
      <c r="W14" s="965">
        <f>W12+366</f>
        <v>43922</v>
      </c>
      <c r="X14" s="963">
        <f>IF(SUM($X$2:X13)=1,0,IF($T$2&lt;W14,1,0))</f>
        <v>0</v>
      </c>
      <c r="Y14" s="965">
        <f t="shared" si="0"/>
        <v>43922</v>
      </c>
      <c r="Z14" s="963" t="s">
        <v>404</v>
      </c>
    </row>
    <row r="15" spans="1:26">
      <c r="A15" s="965" t="str">
        <f>'PROJECT INPUT DATA'!D11</f>
        <v>30/09/2026</v>
      </c>
      <c r="B15" s="965" t="str">
        <f>A15</f>
        <v>30/09/2026</v>
      </c>
      <c r="C15" s="963" t="e">
        <f>YEAR(A15)</f>
        <v>#VALUE!</v>
      </c>
      <c r="D15" s="912"/>
      <c r="G15" s="910"/>
      <c r="H15" s="910"/>
      <c r="I15" s="910"/>
      <c r="J15" s="910"/>
      <c r="W15" s="965">
        <f>W13+366</f>
        <v>44196</v>
      </c>
      <c r="X15" s="963">
        <f>IF(SUM($X$2:X14)=1,0,IF($T$2&lt;W15,1,0))</f>
        <v>0</v>
      </c>
      <c r="Y15" s="965">
        <f t="shared" ref="Y15" si="6">W14</f>
        <v>43922</v>
      </c>
    </row>
    <row r="16" spans="1:26">
      <c r="D16" s="912"/>
      <c r="W16" s="965">
        <f t="shared" si="2"/>
        <v>44287</v>
      </c>
      <c r="X16" s="963">
        <f>IF(SUM($X$2:X15)=1,0,IF($T$2&lt;W16,1,0))</f>
        <v>0</v>
      </c>
      <c r="Y16" s="965">
        <f t="shared" si="0"/>
        <v>44287</v>
      </c>
      <c r="Z16" s="963" t="s">
        <v>405</v>
      </c>
    </row>
    <row r="17" spans="1:36">
      <c r="D17" s="912"/>
      <c r="W17" s="965">
        <f t="shared" si="2"/>
        <v>44561</v>
      </c>
      <c r="X17" s="963">
        <f>IF(SUM($X$2:X16)=1,0,IF($T$2&lt;W17,1,0))</f>
        <v>0</v>
      </c>
      <c r="Y17" s="965">
        <f t="shared" ref="Y17" si="7">W16</f>
        <v>44287</v>
      </c>
    </row>
    <row r="18" spans="1:36">
      <c r="A18" s="963" t="e">
        <f>IF(OR(F1023=0,G1023=0,H1023=0),0,DATEVALUE(C15 &amp; "/" &amp; 1 &amp; "/" &amp; 1))</f>
        <v>#VALUE!</v>
      </c>
      <c r="B18" s="965" t="e">
        <f>A18</f>
        <v>#VALUE!</v>
      </c>
      <c r="W18" s="965">
        <f t="shared" si="2"/>
        <v>44652</v>
      </c>
      <c r="X18" s="963">
        <f>IF(SUM($X$2:X17)=1,0,IF($T$2&lt;W18,1,0))</f>
        <v>0</v>
      </c>
      <c r="Y18" s="965">
        <f t="shared" si="0"/>
        <v>44652</v>
      </c>
      <c r="Z18" s="963" t="s">
        <v>406</v>
      </c>
    </row>
    <row r="19" spans="1:36">
      <c r="W19" s="965">
        <f t="shared" si="2"/>
        <v>44926</v>
      </c>
      <c r="X19" s="963">
        <f>IF(SUM($X$2:X18)=1,0,IF($T$2&lt;W19,1,0))</f>
        <v>0</v>
      </c>
      <c r="Y19" s="965">
        <f t="shared" ref="Y19" si="8">W18</f>
        <v>44652</v>
      </c>
    </row>
    <row r="20" spans="1:36">
      <c r="A20" s="965" t="e">
        <f>A18</f>
        <v>#VALUE!</v>
      </c>
      <c r="C20" s="971" t="e">
        <f>A20</f>
        <v>#VALUE!</v>
      </c>
      <c r="D20" s="968" t="e">
        <f>IF(($P$23-C20)&lt;0,"",($P$23-C20))</f>
        <v>#VALUE!</v>
      </c>
      <c r="E20" s="963" t="e">
        <f>IF(D20="","",RANK(D20,$D$20:$D$215,1))</f>
        <v>#VALUE!</v>
      </c>
      <c r="F20" s="963" t="e">
        <f>IF(A20&lt;$L$37,$K$36,IF(A20&lt;$L$38,$K$37,IF(A20&lt;$L$39,$K$38,IF(A20&lt;$L$40,$K$39,IF(A20&lt;$L$41,$K$40,$K$41)))))</f>
        <v>#VALUE!</v>
      </c>
      <c r="G20" s="965" t="e">
        <f>VLOOKUP(F20,$K$36:$L$41,2,FALSE)</f>
        <v>#VALUE!</v>
      </c>
      <c r="H20" s="965" t="e">
        <f>A20</f>
        <v>#VALUE!</v>
      </c>
      <c r="W20" s="965">
        <f t="shared" si="2"/>
        <v>45017</v>
      </c>
      <c r="X20" s="963">
        <f>IF(SUM($X$2:X19)=1,0,IF($T$2&lt;W20,1,0))</f>
        <v>0</v>
      </c>
      <c r="Y20" s="965">
        <f t="shared" si="0"/>
        <v>45017</v>
      </c>
      <c r="Z20" s="963" t="s">
        <v>407</v>
      </c>
    </row>
    <row r="21" spans="1:36">
      <c r="A21" s="965" t="e">
        <f>A20+31</f>
        <v>#VALUE!</v>
      </c>
      <c r="B21" s="963" t="b">
        <f>ISNA(VLOOKUP(A21,$E$4:$E$13,1,FALSE))</f>
        <v>0</v>
      </c>
      <c r="C21" s="971" t="e">
        <f t="shared" ref="C21:C84" si="9">A21</f>
        <v>#VALUE!</v>
      </c>
      <c r="D21" s="968" t="e">
        <f t="shared" ref="D21:D84" si="10">IF(($P$23-C21)&lt;0,"",($P$23-C21))</f>
        <v>#VALUE!</v>
      </c>
      <c r="E21" s="963" t="e">
        <f t="shared" ref="E21:E84" si="11">IF(D21="","",RANK(D21,$D$20:$D$215,1))</f>
        <v>#VALUE!</v>
      </c>
      <c r="F21" s="963" t="e">
        <f t="shared" ref="F21:F84" si="12">IF(A21&lt;$L$37,$K$36,IF(A21&lt;$L$38,$K$37,IF(A21&lt;$L$39,$K$38,IF(A21&lt;$L$40,$K$39,IF(A21&lt;$L$41,$K$40,$K$41)))))</f>
        <v>#VALUE!</v>
      </c>
      <c r="G21" s="965" t="e">
        <f t="shared" ref="G21:G84" si="13">VLOOKUP(F21,$K$36:$L$41,2,FALSE)</f>
        <v>#VALUE!</v>
      </c>
      <c r="H21" s="965" t="e">
        <f t="shared" ref="H21:H84" si="14">A21</f>
        <v>#VALUE!</v>
      </c>
      <c r="W21" s="965">
        <f t="shared" si="2"/>
        <v>45291</v>
      </c>
      <c r="X21" s="963">
        <f>IF(SUM($X$2:X20)=1,0,IF($T$2&lt;W21,1,0))</f>
        <v>0</v>
      </c>
      <c r="Y21" s="965">
        <f t="shared" ref="Y21" si="15">W20</f>
        <v>45017</v>
      </c>
    </row>
    <row r="22" spans="1:36">
      <c r="A22" s="965" t="e">
        <f>IF(B21=TRUE,(A21+28),(A21+29))</f>
        <v>#VALUE!</v>
      </c>
      <c r="C22" s="971" t="e">
        <f t="shared" si="9"/>
        <v>#VALUE!</v>
      </c>
      <c r="D22" s="968" t="e">
        <f t="shared" si="10"/>
        <v>#VALUE!</v>
      </c>
      <c r="E22" s="963" t="e">
        <f t="shared" si="11"/>
        <v>#VALUE!</v>
      </c>
      <c r="F22" s="963" t="e">
        <f t="shared" si="12"/>
        <v>#VALUE!</v>
      </c>
      <c r="G22" s="965" t="e">
        <f t="shared" si="13"/>
        <v>#VALUE!</v>
      </c>
      <c r="H22" s="965" t="e">
        <f t="shared" si="14"/>
        <v>#VALUE!</v>
      </c>
      <c r="W22" s="965">
        <f>W20+366</f>
        <v>45383</v>
      </c>
      <c r="X22" s="963">
        <f>IF(SUM($X$2:X21)=1,0,IF($T$2&lt;W22,1,0))</f>
        <v>0</v>
      </c>
      <c r="Y22" s="965">
        <f t="shared" si="0"/>
        <v>45383</v>
      </c>
      <c r="Z22" s="963" t="s">
        <v>408</v>
      </c>
    </row>
    <row r="23" spans="1:36">
      <c r="A23" s="965" t="e">
        <f>A22+31</f>
        <v>#VALUE!</v>
      </c>
      <c r="C23" s="971" t="e">
        <f t="shared" si="9"/>
        <v>#VALUE!</v>
      </c>
      <c r="D23" s="968" t="e">
        <f t="shared" si="10"/>
        <v>#VALUE!</v>
      </c>
      <c r="E23" s="963" t="e">
        <f t="shared" si="11"/>
        <v>#VALUE!</v>
      </c>
      <c r="F23" s="963" t="e">
        <f t="shared" si="12"/>
        <v>#VALUE!</v>
      </c>
      <c r="G23" s="965" t="e">
        <f t="shared" si="13"/>
        <v>#VALUE!</v>
      </c>
      <c r="H23" s="965" t="e">
        <f t="shared" si="14"/>
        <v>#VALUE!</v>
      </c>
      <c r="O23" s="972" t="s">
        <v>376</v>
      </c>
      <c r="P23" s="973">
        <f>'F1  Cover'!L8</f>
        <v>46053</v>
      </c>
      <c r="W23" s="965">
        <f>W21+366</f>
        <v>45657</v>
      </c>
      <c r="X23" s="963">
        <f>IF(SUM($X$2:X22)=1,0,IF($T$2&lt;W23,1,0))</f>
        <v>0</v>
      </c>
      <c r="Y23" s="965">
        <f t="shared" ref="Y23" si="16">W22</f>
        <v>45383</v>
      </c>
    </row>
    <row r="24" spans="1:36">
      <c r="A24" s="965" t="e">
        <f>A23+30</f>
        <v>#VALUE!</v>
      </c>
      <c r="C24" s="971" t="e">
        <f t="shared" si="9"/>
        <v>#VALUE!</v>
      </c>
      <c r="D24" s="968" t="e">
        <f t="shared" si="10"/>
        <v>#VALUE!</v>
      </c>
      <c r="E24" s="963" t="e">
        <f t="shared" si="11"/>
        <v>#VALUE!</v>
      </c>
      <c r="F24" s="963" t="e">
        <f t="shared" si="12"/>
        <v>#VALUE!</v>
      </c>
      <c r="G24" s="965" t="e">
        <f t="shared" si="13"/>
        <v>#VALUE!</v>
      </c>
      <c r="H24" s="965" t="e">
        <f t="shared" si="14"/>
        <v>#VALUE!</v>
      </c>
      <c r="K24" s="974"/>
      <c r="L24" s="974"/>
      <c r="M24" s="974"/>
      <c r="N24" s="975"/>
      <c r="O24" s="974"/>
      <c r="P24" s="974"/>
      <c r="W24" s="965">
        <f t="shared" si="2"/>
        <v>45748</v>
      </c>
      <c r="X24" s="963">
        <f>IF(SUM($X$2:X23)=1,0,IF($T$2&lt;W24,1,0))</f>
        <v>0</v>
      </c>
      <c r="Y24" s="965">
        <f t="shared" si="0"/>
        <v>45748</v>
      </c>
      <c r="Z24" s="963" t="s">
        <v>409</v>
      </c>
    </row>
    <row r="25" spans="1:36">
      <c r="A25" s="965" t="e">
        <f>A24+31</f>
        <v>#VALUE!</v>
      </c>
      <c r="C25" s="971" t="e">
        <f t="shared" si="9"/>
        <v>#VALUE!</v>
      </c>
      <c r="D25" s="968" t="e">
        <f t="shared" si="10"/>
        <v>#VALUE!</v>
      </c>
      <c r="E25" s="963" t="e">
        <f t="shared" si="11"/>
        <v>#VALUE!</v>
      </c>
      <c r="F25" s="963" t="e">
        <f t="shared" si="12"/>
        <v>#VALUE!</v>
      </c>
      <c r="G25" s="965" t="e">
        <f t="shared" si="13"/>
        <v>#VALUE!</v>
      </c>
      <c r="H25" s="965" t="e">
        <f t="shared" si="14"/>
        <v>#VALUE!</v>
      </c>
      <c r="K25" s="965"/>
      <c r="L25" s="965"/>
      <c r="M25" s="965"/>
      <c r="N25" s="965"/>
      <c r="O25" s="965"/>
      <c r="P25" s="965"/>
      <c r="R25" s="976"/>
      <c r="W25" s="965">
        <f t="shared" si="2"/>
        <v>46022</v>
      </c>
      <c r="X25" s="963">
        <f>IF(SUM($X$2:X24)=1,0,IF($T$2&lt;W25,1,0))</f>
        <v>0</v>
      </c>
      <c r="Y25" s="965">
        <f t="shared" ref="Y25" si="17">W24</f>
        <v>45748</v>
      </c>
    </row>
    <row r="26" spans="1:36">
      <c r="A26" s="965" t="e">
        <f>A25+30</f>
        <v>#VALUE!</v>
      </c>
      <c r="C26" s="971" t="e">
        <f t="shared" si="9"/>
        <v>#VALUE!</v>
      </c>
      <c r="D26" s="968" t="e">
        <f t="shared" si="10"/>
        <v>#VALUE!</v>
      </c>
      <c r="E26" s="963" t="e">
        <f t="shared" si="11"/>
        <v>#VALUE!</v>
      </c>
      <c r="F26" s="963" t="e">
        <f t="shared" si="12"/>
        <v>#VALUE!</v>
      </c>
      <c r="G26" s="965" t="e">
        <f t="shared" si="13"/>
        <v>#VALUE!</v>
      </c>
      <c r="H26" s="965" t="e">
        <f t="shared" si="14"/>
        <v>#VALUE!</v>
      </c>
      <c r="W26" s="965">
        <f t="shared" si="2"/>
        <v>46113</v>
      </c>
      <c r="X26" s="963">
        <f>IF(SUM($X$2:X25)=1,0,IF($T$2&lt;W26,1,0))</f>
        <v>0</v>
      </c>
      <c r="Y26" s="965">
        <f t="shared" si="0"/>
        <v>46113</v>
      </c>
      <c r="Z26" s="963" t="s">
        <v>410</v>
      </c>
    </row>
    <row r="27" spans="1:36">
      <c r="A27" s="965" t="e">
        <f>A26+31</f>
        <v>#VALUE!</v>
      </c>
      <c r="C27" s="971" t="e">
        <f t="shared" si="9"/>
        <v>#VALUE!</v>
      </c>
      <c r="D27" s="968" t="e">
        <f t="shared" si="10"/>
        <v>#VALUE!</v>
      </c>
      <c r="E27" s="963" t="e">
        <f t="shared" si="11"/>
        <v>#VALUE!</v>
      </c>
      <c r="F27" s="963" t="e">
        <f t="shared" si="12"/>
        <v>#VALUE!</v>
      </c>
      <c r="G27" s="965" t="e">
        <f t="shared" si="13"/>
        <v>#VALUE!</v>
      </c>
      <c r="H27" s="965" t="e">
        <f t="shared" si="14"/>
        <v>#VALUE!</v>
      </c>
      <c r="K27" s="968"/>
      <c r="L27" s="968"/>
      <c r="M27" s="968"/>
      <c r="N27" s="968"/>
      <c r="O27" s="968"/>
      <c r="P27" s="968"/>
      <c r="W27" s="965">
        <f t="shared" si="2"/>
        <v>46387</v>
      </c>
      <c r="X27" s="963">
        <f>IF(SUM($X$2:X26)=1,0,IF($T$2&lt;W27,1,0))</f>
        <v>0</v>
      </c>
      <c r="Y27" s="965">
        <f t="shared" ref="Y27" si="18">W26</f>
        <v>46113</v>
      </c>
    </row>
    <row r="28" spans="1:36">
      <c r="A28" s="965" t="e">
        <f>A27+31</f>
        <v>#VALUE!</v>
      </c>
      <c r="C28" s="971" t="e">
        <f t="shared" si="9"/>
        <v>#VALUE!</v>
      </c>
      <c r="D28" s="968" t="e">
        <f t="shared" si="10"/>
        <v>#VALUE!</v>
      </c>
      <c r="E28" s="963" t="e">
        <f t="shared" si="11"/>
        <v>#VALUE!</v>
      </c>
      <c r="F28" s="963" t="e">
        <f t="shared" si="12"/>
        <v>#VALUE!</v>
      </c>
      <c r="G28" s="965" t="e">
        <f t="shared" si="13"/>
        <v>#VALUE!</v>
      </c>
      <c r="H28" s="965" t="e">
        <f t="shared" si="14"/>
        <v>#VALUE!</v>
      </c>
      <c r="W28" s="965">
        <f t="shared" si="2"/>
        <v>46478</v>
      </c>
      <c r="X28" s="963">
        <f>IF(SUM($X$2:X27)=1,0,IF($T$2&lt;W28,1,0))</f>
        <v>0</v>
      </c>
      <c r="Y28" s="965">
        <f t="shared" si="0"/>
        <v>46478</v>
      </c>
      <c r="Z28" s="963" t="s">
        <v>411</v>
      </c>
    </row>
    <row r="29" spans="1:36">
      <c r="A29" s="965" t="e">
        <f>A28+30</f>
        <v>#VALUE!</v>
      </c>
      <c r="C29" s="971" t="e">
        <f t="shared" si="9"/>
        <v>#VALUE!</v>
      </c>
      <c r="D29" s="968" t="e">
        <f t="shared" si="10"/>
        <v>#VALUE!</v>
      </c>
      <c r="E29" s="963" t="e">
        <f t="shared" si="11"/>
        <v>#VALUE!</v>
      </c>
      <c r="F29" s="963" t="e">
        <f t="shared" si="12"/>
        <v>#VALUE!</v>
      </c>
      <c r="G29" s="965" t="e">
        <f t="shared" si="13"/>
        <v>#VALUE!</v>
      </c>
      <c r="H29" s="965" t="e">
        <f t="shared" si="14"/>
        <v>#VALUE!</v>
      </c>
      <c r="W29" s="965">
        <f t="shared" si="2"/>
        <v>46752</v>
      </c>
      <c r="X29" s="963">
        <f>IF(SUM($X$2:X28)=1,0,IF($T$2&lt;W29,1,0))</f>
        <v>0</v>
      </c>
      <c r="Y29" s="965">
        <f t="shared" ref="Y29" si="19">W28</f>
        <v>46478</v>
      </c>
      <c r="AJ29" s="977"/>
    </row>
    <row r="30" spans="1:36">
      <c r="A30" s="965" t="e">
        <f>A29+31</f>
        <v>#VALUE!</v>
      </c>
      <c r="C30" s="971" t="e">
        <f t="shared" si="9"/>
        <v>#VALUE!</v>
      </c>
      <c r="D30" s="968" t="e">
        <f t="shared" si="10"/>
        <v>#VALUE!</v>
      </c>
      <c r="E30" s="963" t="e">
        <f t="shared" si="11"/>
        <v>#VALUE!</v>
      </c>
      <c r="F30" s="963" t="e">
        <f t="shared" si="12"/>
        <v>#VALUE!</v>
      </c>
      <c r="G30" s="965" t="e">
        <f t="shared" si="13"/>
        <v>#VALUE!</v>
      </c>
      <c r="H30" s="965" t="e">
        <f t="shared" si="14"/>
        <v>#VALUE!</v>
      </c>
      <c r="W30" s="965">
        <f>W28+366</f>
        <v>46844</v>
      </c>
      <c r="X30" s="963">
        <f>IF(SUM($X$2:X29)=1,0,IF($T$2&lt;W30,1,0))</f>
        <v>0</v>
      </c>
      <c r="Y30" s="965">
        <f t="shared" si="0"/>
        <v>46844</v>
      </c>
      <c r="Z30" s="963" t="s">
        <v>412</v>
      </c>
      <c r="AJ30" s="977"/>
    </row>
    <row r="31" spans="1:36">
      <c r="A31" s="965" t="e">
        <f>A30+30</f>
        <v>#VALUE!</v>
      </c>
      <c r="C31" s="971" t="e">
        <f t="shared" si="9"/>
        <v>#VALUE!</v>
      </c>
      <c r="D31" s="968" t="e">
        <f t="shared" si="10"/>
        <v>#VALUE!</v>
      </c>
      <c r="E31" s="963" t="e">
        <f t="shared" si="11"/>
        <v>#VALUE!</v>
      </c>
      <c r="F31" s="963" t="e">
        <f t="shared" si="12"/>
        <v>#VALUE!</v>
      </c>
      <c r="G31" s="965" t="e">
        <f t="shared" si="13"/>
        <v>#VALUE!</v>
      </c>
      <c r="H31" s="965" t="e">
        <f t="shared" si="14"/>
        <v>#VALUE!</v>
      </c>
      <c r="K31" s="978"/>
      <c r="L31" s="978"/>
      <c r="M31" s="978"/>
      <c r="N31" s="978"/>
      <c r="O31" s="978"/>
      <c r="P31" s="978"/>
      <c r="W31" s="965">
        <f>W29+366</f>
        <v>47118</v>
      </c>
      <c r="X31" s="963">
        <f>IF(SUM($X$2:X30)=1,0,IF($T$2&lt;W31,1,0))</f>
        <v>0</v>
      </c>
      <c r="Y31" s="965">
        <f t="shared" ref="Y31" si="20">W30</f>
        <v>46844</v>
      </c>
      <c r="AJ31" s="977"/>
    </row>
    <row r="32" spans="1:36">
      <c r="A32" s="965" t="e">
        <f>A31+31</f>
        <v>#VALUE!</v>
      </c>
      <c r="C32" s="971" t="e">
        <f t="shared" si="9"/>
        <v>#VALUE!</v>
      </c>
      <c r="D32" s="968" t="e">
        <f t="shared" si="10"/>
        <v>#VALUE!</v>
      </c>
      <c r="E32" s="963" t="e">
        <f t="shared" si="11"/>
        <v>#VALUE!</v>
      </c>
      <c r="F32" s="963" t="e">
        <f t="shared" si="12"/>
        <v>#VALUE!</v>
      </c>
      <c r="G32" s="965" t="e">
        <f t="shared" si="13"/>
        <v>#VALUE!</v>
      </c>
      <c r="H32" s="965" t="e">
        <f t="shared" si="14"/>
        <v>#VALUE!</v>
      </c>
      <c r="W32" s="965">
        <f t="shared" si="2"/>
        <v>47209</v>
      </c>
      <c r="X32" s="963">
        <f>IF(SUM($X$2:X31)=1,0,IF($T$2&lt;W32,1,0))</f>
        <v>0</v>
      </c>
      <c r="Y32" s="965">
        <f t="shared" si="0"/>
        <v>47209</v>
      </c>
      <c r="Z32" s="963" t="s">
        <v>413</v>
      </c>
      <c r="AJ32" s="977"/>
    </row>
    <row r="33" spans="1:279">
      <c r="A33" s="965" t="e">
        <f>A32+31</f>
        <v>#VALUE!</v>
      </c>
      <c r="B33" s="963" t="b">
        <f>ISNA(VLOOKUP(A33,$E$4:$E$13,1,FALSE))</f>
        <v>0</v>
      </c>
      <c r="C33" s="971" t="e">
        <f t="shared" si="9"/>
        <v>#VALUE!</v>
      </c>
      <c r="D33" s="968" t="e">
        <f t="shared" si="10"/>
        <v>#VALUE!</v>
      </c>
      <c r="E33" s="963" t="e">
        <f t="shared" si="11"/>
        <v>#VALUE!</v>
      </c>
      <c r="F33" s="963" t="e">
        <f t="shared" si="12"/>
        <v>#VALUE!</v>
      </c>
      <c r="G33" s="965" t="e">
        <f t="shared" si="13"/>
        <v>#VALUE!</v>
      </c>
      <c r="H33" s="965" t="e">
        <f t="shared" si="14"/>
        <v>#VALUE!</v>
      </c>
      <c r="W33" s="965">
        <f t="shared" si="2"/>
        <v>47483</v>
      </c>
      <c r="X33" s="963">
        <f>IF(SUM($X$2:X32)=1,0,IF($T$2&lt;W33,1,0))</f>
        <v>0</v>
      </c>
      <c r="Y33" s="965">
        <f t="shared" ref="Y33" si="21">W32</f>
        <v>47209</v>
      </c>
      <c r="AJ33" s="977"/>
    </row>
    <row r="34" spans="1:279">
      <c r="A34" s="965" t="e">
        <f>IF(B33=TRUE,(A33+28),(A33+29))</f>
        <v>#VALUE!</v>
      </c>
      <c r="C34" s="971" t="e">
        <f t="shared" si="9"/>
        <v>#VALUE!</v>
      </c>
      <c r="D34" s="968" t="e">
        <f t="shared" si="10"/>
        <v>#VALUE!</v>
      </c>
      <c r="E34" s="963" t="e">
        <f t="shared" si="11"/>
        <v>#VALUE!</v>
      </c>
      <c r="F34" s="963" t="e">
        <f t="shared" si="12"/>
        <v>#VALUE!</v>
      </c>
      <c r="G34" s="965" t="e">
        <f t="shared" si="13"/>
        <v>#VALUE!</v>
      </c>
      <c r="H34" s="965" t="e">
        <f t="shared" si="14"/>
        <v>#VALUE!</v>
      </c>
      <c r="W34" s="965">
        <f t="shared" si="2"/>
        <v>47574</v>
      </c>
      <c r="X34" s="963">
        <f>IF(SUM($X$2:X33)=1,0,IF($T$2&lt;W34,1,0))</f>
        <v>0</v>
      </c>
      <c r="Y34" s="965">
        <f t="shared" si="0"/>
        <v>47574</v>
      </c>
      <c r="Z34" s="963" t="s">
        <v>414</v>
      </c>
      <c r="AJ34" s="977"/>
    </row>
    <row r="35" spans="1:279">
      <c r="A35" s="965" t="e">
        <f>A34+31</f>
        <v>#VALUE!</v>
      </c>
      <c r="C35" s="971" t="e">
        <f t="shared" si="9"/>
        <v>#VALUE!</v>
      </c>
      <c r="D35" s="968" t="e">
        <f t="shared" si="10"/>
        <v>#VALUE!</v>
      </c>
      <c r="E35" s="963" t="e">
        <f t="shared" si="11"/>
        <v>#VALUE!</v>
      </c>
      <c r="F35" s="963" t="e">
        <f t="shared" si="12"/>
        <v>#VALUE!</v>
      </c>
      <c r="G35" s="965" t="e">
        <f t="shared" si="13"/>
        <v>#VALUE!</v>
      </c>
      <c r="H35" s="965" t="e">
        <f t="shared" si="14"/>
        <v>#VALUE!</v>
      </c>
      <c r="W35" s="965">
        <f t="shared" si="2"/>
        <v>47848</v>
      </c>
      <c r="X35" s="963">
        <f>IF(SUM($X$2:X34)=1,0,IF($T$2&lt;W35,1,0))</f>
        <v>0</v>
      </c>
      <c r="Y35" s="965">
        <f t="shared" ref="Y35" si="22">W34</f>
        <v>47574</v>
      </c>
      <c r="AJ35" s="977"/>
    </row>
    <row r="36" spans="1:279">
      <c r="A36" s="965" t="e">
        <f>A35+30</f>
        <v>#VALUE!</v>
      </c>
      <c r="C36" s="971" t="e">
        <f t="shared" si="9"/>
        <v>#VALUE!</v>
      </c>
      <c r="D36" s="968" t="e">
        <f t="shared" si="10"/>
        <v>#VALUE!</v>
      </c>
      <c r="E36" s="963" t="e">
        <f t="shared" si="11"/>
        <v>#VALUE!</v>
      </c>
      <c r="F36" s="963" t="e">
        <f t="shared" si="12"/>
        <v>#VALUE!</v>
      </c>
      <c r="G36" s="965" t="e">
        <f t="shared" si="13"/>
        <v>#VALUE!</v>
      </c>
      <c r="H36" s="965" t="e">
        <f t="shared" si="14"/>
        <v>#VALUE!</v>
      </c>
      <c r="J36" s="963">
        <v>1</v>
      </c>
      <c r="K36" s="963" t="str">
        <f t="shared" ref="K36:K38" si="23">IF(ISNA(HLOOKUP(J36,$K$29:$P$33,5,FALSE))=TRUE,"",(HLOOKUP(J36,$K$29:$P$33,5,FALSE)))</f>
        <v/>
      </c>
      <c r="L36" s="978" t="str">
        <f>IF(ISNA(HLOOKUP(J36,$K$29:$P$33,3,FALSE))=TRUE,"",(HLOOKUP(J36,$K$29:$P$33,3,FALSE)))</f>
        <v/>
      </c>
      <c r="W36" s="965">
        <f t="shared" si="2"/>
        <v>47939</v>
      </c>
      <c r="X36" s="963">
        <f>IF(SUM($X$2:X35)=1,0,IF($T$2&lt;W36,1,0))</f>
        <v>0</v>
      </c>
      <c r="Y36" s="965">
        <f t="shared" si="0"/>
        <v>47939</v>
      </c>
      <c r="Z36" s="963" t="s">
        <v>415</v>
      </c>
      <c r="AJ36" s="977"/>
    </row>
    <row r="37" spans="1:279">
      <c r="A37" s="965" t="e">
        <f>A36+31</f>
        <v>#VALUE!</v>
      </c>
      <c r="C37" s="971" t="e">
        <f t="shared" si="9"/>
        <v>#VALUE!</v>
      </c>
      <c r="D37" s="968" t="e">
        <f t="shared" si="10"/>
        <v>#VALUE!</v>
      </c>
      <c r="E37" s="963" t="e">
        <f t="shared" si="11"/>
        <v>#VALUE!</v>
      </c>
      <c r="F37" s="963" t="e">
        <f t="shared" si="12"/>
        <v>#VALUE!</v>
      </c>
      <c r="G37" s="965" t="e">
        <f t="shared" si="13"/>
        <v>#VALUE!</v>
      </c>
      <c r="H37" s="965" t="e">
        <f t="shared" si="14"/>
        <v>#VALUE!</v>
      </c>
      <c r="J37" s="963">
        <v>2</v>
      </c>
      <c r="K37" s="963" t="str">
        <f t="shared" si="23"/>
        <v/>
      </c>
      <c r="L37" s="978" t="str">
        <f t="shared" ref="L37:L41" si="24">IF(ISNA(HLOOKUP(J37,$K$29:$P$33,3,FALSE))=TRUE,"",(HLOOKUP(J37,$K$29:$P$33,3,FALSE)))</f>
        <v/>
      </c>
      <c r="W37" s="965">
        <f t="shared" si="2"/>
        <v>48213</v>
      </c>
      <c r="X37" s="963">
        <f>IF(SUM($X$2:X36)=1,0,IF($T$2&lt;W37,1,0))</f>
        <v>0</v>
      </c>
      <c r="Y37" s="965">
        <f t="shared" ref="Y37" si="25">W36</f>
        <v>47939</v>
      </c>
      <c r="AJ37" s="977"/>
    </row>
    <row r="38" spans="1:279">
      <c r="A38" s="965" t="e">
        <f>A37+30</f>
        <v>#VALUE!</v>
      </c>
      <c r="C38" s="971" t="e">
        <f t="shared" si="9"/>
        <v>#VALUE!</v>
      </c>
      <c r="D38" s="968" t="e">
        <f t="shared" si="10"/>
        <v>#VALUE!</v>
      </c>
      <c r="E38" s="963" t="e">
        <f t="shared" si="11"/>
        <v>#VALUE!</v>
      </c>
      <c r="F38" s="963" t="e">
        <f t="shared" si="12"/>
        <v>#VALUE!</v>
      </c>
      <c r="G38" s="965" t="e">
        <f t="shared" si="13"/>
        <v>#VALUE!</v>
      </c>
      <c r="H38" s="965" t="e">
        <f t="shared" si="14"/>
        <v>#VALUE!</v>
      </c>
      <c r="J38" s="963">
        <v>3</v>
      </c>
      <c r="K38" s="963" t="str">
        <f t="shared" si="23"/>
        <v/>
      </c>
      <c r="L38" s="978" t="str">
        <f t="shared" si="24"/>
        <v/>
      </c>
      <c r="W38" s="965">
        <f>W36+366</f>
        <v>48305</v>
      </c>
      <c r="X38" s="963">
        <f>IF(SUM($X$2:X37)=1,0,IF($T$2&lt;W38,1,0))</f>
        <v>0</v>
      </c>
      <c r="Y38" s="965">
        <f t="shared" si="0"/>
        <v>48305</v>
      </c>
      <c r="Z38" s="963" t="s">
        <v>416</v>
      </c>
      <c r="AJ38" s="977"/>
    </row>
    <row r="39" spans="1:279" ht="16.8">
      <c r="A39" s="965" t="e">
        <f>A38+31</f>
        <v>#VALUE!</v>
      </c>
      <c r="C39" s="971" t="e">
        <f t="shared" si="9"/>
        <v>#VALUE!</v>
      </c>
      <c r="D39" s="968" t="e">
        <f t="shared" si="10"/>
        <v>#VALUE!</v>
      </c>
      <c r="E39" s="963" t="e">
        <f t="shared" si="11"/>
        <v>#VALUE!</v>
      </c>
      <c r="F39" s="963" t="e">
        <f t="shared" si="12"/>
        <v>#VALUE!</v>
      </c>
      <c r="G39" s="965" t="e">
        <f t="shared" si="13"/>
        <v>#VALUE!</v>
      </c>
      <c r="H39" s="965" t="e">
        <f t="shared" si="14"/>
        <v>#VALUE!</v>
      </c>
      <c r="J39" s="963">
        <v>4</v>
      </c>
      <c r="K39" s="963" t="str">
        <f>IF(ISNA(HLOOKUP(J39,$K$29:$P$33,5,FALSE))=TRUE,"",(HLOOKUP(J39,$K$29:$P$33,5,FALSE)))</f>
        <v/>
      </c>
      <c r="L39" s="978" t="str">
        <f t="shared" si="24"/>
        <v/>
      </c>
      <c r="W39" s="965">
        <f>W37+366</f>
        <v>48579</v>
      </c>
      <c r="X39" s="963">
        <f>IF(SUM($X$2:X38)=1,0,IF($T$2&lt;W39,1,0))</f>
        <v>0</v>
      </c>
      <c r="Y39" s="965">
        <f t="shared" ref="Y39" si="26">W38</f>
        <v>48305</v>
      </c>
      <c r="AJ39" s="979"/>
    </row>
    <row r="40" spans="1:279" ht="16.8">
      <c r="A40" s="965" t="e">
        <f>A39+31</f>
        <v>#VALUE!</v>
      </c>
      <c r="C40" s="971" t="e">
        <f t="shared" si="9"/>
        <v>#VALUE!</v>
      </c>
      <c r="D40" s="968" t="e">
        <f t="shared" si="10"/>
        <v>#VALUE!</v>
      </c>
      <c r="E40" s="963" t="e">
        <f t="shared" si="11"/>
        <v>#VALUE!</v>
      </c>
      <c r="F40" s="963" t="e">
        <f t="shared" si="12"/>
        <v>#VALUE!</v>
      </c>
      <c r="G40" s="965" t="e">
        <f t="shared" si="13"/>
        <v>#VALUE!</v>
      </c>
      <c r="H40" s="965" t="e">
        <f t="shared" si="14"/>
        <v>#VALUE!</v>
      </c>
      <c r="J40" s="963">
        <v>5</v>
      </c>
      <c r="K40" s="963" t="str">
        <f t="shared" ref="K40:K41" si="27">IF(ISNA(HLOOKUP(J40,$K$29:$P$33,5,FALSE))=TRUE,"",(HLOOKUP(J40,$K$29:$P$33,5,FALSE)))</f>
        <v/>
      </c>
      <c r="L40" s="978" t="str">
        <f t="shared" si="24"/>
        <v/>
      </c>
      <c r="W40" s="965">
        <f t="shared" si="2"/>
        <v>48670</v>
      </c>
      <c r="X40" s="963">
        <f>IF(SUM($X$2:X39)=1,0,IF($T$2&lt;W40,1,0))</f>
        <v>0</v>
      </c>
      <c r="Y40" s="965">
        <f t="shared" si="0"/>
        <v>48670</v>
      </c>
      <c r="Z40" s="963" t="s">
        <v>417</v>
      </c>
      <c r="AJ40" s="979"/>
    </row>
    <row r="41" spans="1:279">
      <c r="A41" s="965" t="e">
        <f>A40+30</f>
        <v>#VALUE!</v>
      </c>
      <c r="C41" s="971" t="e">
        <f t="shared" si="9"/>
        <v>#VALUE!</v>
      </c>
      <c r="D41" s="968" t="e">
        <f t="shared" si="10"/>
        <v>#VALUE!</v>
      </c>
      <c r="E41" s="963" t="e">
        <f t="shared" si="11"/>
        <v>#VALUE!</v>
      </c>
      <c r="F41" s="963" t="e">
        <f t="shared" si="12"/>
        <v>#VALUE!</v>
      </c>
      <c r="G41" s="965" t="e">
        <f t="shared" si="13"/>
        <v>#VALUE!</v>
      </c>
      <c r="H41" s="965" t="e">
        <f t="shared" si="14"/>
        <v>#VALUE!</v>
      </c>
      <c r="J41" s="963">
        <v>6</v>
      </c>
      <c r="K41" s="963" t="str">
        <f t="shared" si="27"/>
        <v/>
      </c>
      <c r="L41" s="978" t="str">
        <f t="shared" si="24"/>
        <v/>
      </c>
      <c r="W41" s="965">
        <f t="shared" si="2"/>
        <v>48944</v>
      </c>
      <c r="X41" s="963">
        <f>IF(SUM($X$2:X40)=1,0,IF($T$2&lt;W41,1,0))</f>
        <v>0</v>
      </c>
      <c r="Y41" s="965">
        <f t="shared" ref="Y41" si="28">W40</f>
        <v>48670</v>
      </c>
    </row>
    <row r="42" spans="1:279">
      <c r="A42" s="965" t="e">
        <f>A41+31</f>
        <v>#VALUE!</v>
      </c>
      <c r="C42" s="971" t="e">
        <f t="shared" si="9"/>
        <v>#VALUE!</v>
      </c>
      <c r="D42" s="968" t="e">
        <f t="shared" si="10"/>
        <v>#VALUE!</v>
      </c>
      <c r="E42" s="963" t="e">
        <f t="shared" si="11"/>
        <v>#VALUE!</v>
      </c>
      <c r="F42" s="963" t="e">
        <f t="shared" si="12"/>
        <v>#VALUE!</v>
      </c>
      <c r="G42" s="965" t="e">
        <f t="shared" si="13"/>
        <v>#VALUE!</v>
      </c>
      <c r="H42" s="965" t="e">
        <f t="shared" si="14"/>
        <v>#VALUE!</v>
      </c>
      <c r="Y42" s="980"/>
    </row>
    <row r="43" spans="1:279">
      <c r="A43" s="965" t="e">
        <f>A42+30</f>
        <v>#VALUE!</v>
      </c>
      <c r="C43" s="971" t="e">
        <f t="shared" si="9"/>
        <v>#VALUE!</v>
      </c>
      <c r="D43" s="968" t="e">
        <f t="shared" si="10"/>
        <v>#VALUE!</v>
      </c>
      <c r="E43" s="963" t="e">
        <f t="shared" si="11"/>
        <v>#VALUE!</v>
      </c>
      <c r="F43" s="963" t="e">
        <f t="shared" si="12"/>
        <v>#VALUE!</v>
      </c>
      <c r="G43" s="965" t="e">
        <f t="shared" si="13"/>
        <v>#VALUE!</v>
      </c>
      <c r="H43" s="965" t="e">
        <f t="shared" si="14"/>
        <v>#VALUE!</v>
      </c>
    </row>
    <row r="44" spans="1:279">
      <c r="A44" s="965" t="e">
        <f>A43+31</f>
        <v>#VALUE!</v>
      </c>
      <c r="C44" s="971" t="e">
        <f t="shared" si="9"/>
        <v>#VALUE!</v>
      </c>
      <c r="D44" s="968" t="e">
        <f t="shared" si="10"/>
        <v>#VALUE!</v>
      </c>
      <c r="E44" s="963" t="e">
        <f t="shared" si="11"/>
        <v>#VALUE!</v>
      </c>
      <c r="F44" s="963" t="e">
        <f t="shared" si="12"/>
        <v>#VALUE!</v>
      </c>
      <c r="G44" s="965" t="e">
        <f t="shared" si="13"/>
        <v>#VALUE!</v>
      </c>
      <c r="H44" s="965" t="e">
        <f t="shared" si="14"/>
        <v>#VALUE!</v>
      </c>
      <c r="J44" s="963">
        <v>2</v>
      </c>
      <c r="K44" s="965" t="e">
        <f>VLOOKUP(J44,$E$20:$H$215,4,FALSE)</f>
        <v>#N/A</v>
      </c>
      <c r="L44" s="963" t="s">
        <v>213</v>
      </c>
      <c r="M44" s="963" t="e">
        <f>VLOOKUP(J44,$E$20:$G$215,2,FALSE)</f>
        <v>#N/A</v>
      </c>
      <c r="N44" s="978" t="e">
        <f>VLOOKUP(J44,$E$20:$G$215,3,FALSE)</f>
        <v>#N/A</v>
      </c>
    </row>
    <row r="45" spans="1:279">
      <c r="A45" s="965" t="e">
        <f>A44+31</f>
        <v>#VALUE!</v>
      </c>
      <c r="B45" s="963" t="b">
        <f>ISNA(VLOOKUP(A45,$E$4:$E$13,1,FALSE))</f>
        <v>0</v>
      </c>
      <c r="C45" s="971" t="e">
        <f t="shared" si="9"/>
        <v>#VALUE!</v>
      </c>
      <c r="D45" s="968" t="e">
        <f t="shared" si="10"/>
        <v>#VALUE!</v>
      </c>
      <c r="E45" s="963" t="e">
        <f t="shared" si="11"/>
        <v>#VALUE!</v>
      </c>
      <c r="F45" s="963" t="e">
        <f t="shared" si="12"/>
        <v>#VALUE!</v>
      </c>
      <c r="G45" s="965" t="e">
        <f t="shared" si="13"/>
        <v>#VALUE!</v>
      </c>
      <c r="H45" s="965" t="e">
        <f t="shared" si="14"/>
        <v>#VALUE!</v>
      </c>
      <c r="J45" s="963">
        <v>1</v>
      </c>
      <c r="K45" s="965" t="e">
        <f>VLOOKUP(J45,$E$20:$H$215,4,FALSE)</f>
        <v>#N/A</v>
      </c>
      <c r="L45" s="963" t="s">
        <v>377</v>
      </c>
      <c r="M45" s="963" t="e">
        <f>VLOOKUP(J45,$E$20:$G$215,2,FALSE)</f>
        <v>#N/A</v>
      </c>
      <c r="N45" s="978" t="e">
        <f>VLOOKUP(J45,$E$20:$G$215,3,FALSE)</f>
        <v>#N/A</v>
      </c>
    </row>
    <row r="46" spans="1:279">
      <c r="A46" s="965" t="e">
        <f>IF(B45=TRUE,(A45+28),(A45+29))</f>
        <v>#VALUE!</v>
      </c>
      <c r="C46" s="971" t="e">
        <f t="shared" si="9"/>
        <v>#VALUE!</v>
      </c>
      <c r="D46" s="968" t="e">
        <f t="shared" si="10"/>
        <v>#VALUE!</v>
      </c>
      <c r="E46" s="963" t="e">
        <f t="shared" si="11"/>
        <v>#VALUE!</v>
      </c>
      <c r="F46" s="963" t="e">
        <f t="shared" si="12"/>
        <v>#VALUE!</v>
      </c>
      <c r="G46" s="965" t="e">
        <f t="shared" si="13"/>
        <v>#VALUE!</v>
      </c>
      <c r="H46" s="965" t="e">
        <f t="shared" si="14"/>
        <v>#VALUE!</v>
      </c>
    </row>
    <row r="47" spans="1:279">
      <c r="A47" s="965" t="e">
        <f>A46+31</f>
        <v>#VALUE!</v>
      </c>
      <c r="C47" s="971" t="e">
        <f t="shared" si="9"/>
        <v>#VALUE!</v>
      </c>
      <c r="D47" s="968" t="e">
        <f t="shared" si="10"/>
        <v>#VALUE!</v>
      </c>
      <c r="E47" s="963" t="e">
        <f t="shared" si="11"/>
        <v>#VALUE!</v>
      </c>
      <c r="F47" s="963" t="e">
        <f t="shared" si="12"/>
        <v>#VALUE!</v>
      </c>
      <c r="G47" s="965" t="e">
        <f t="shared" si="13"/>
        <v>#VALUE!</v>
      </c>
      <c r="H47" s="965" t="e">
        <f t="shared" si="14"/>
        <v>#VALUE!</v>
      </c>
    </row>
    <row r="48" spans="1:279">
      <c r="A48" s="965" t="e">
        <f>A47+30</f>
        <v>#VALUE!</v>
      </c>
      <c r="C48" s="971" t="e">
        <f t="shared" si="9"/>
        <v>#VALUE!</v>
      </c>
      <c r="D48" s="968" t="e">
        <f t="shared" si="10"/>
        <v>#VALUE!</v>
      </c>
      <c r="E48" s="963" t="e">
        <f t="shared" si="11"/>
        <v>#VALUE!</v>
      </c>
      <c r="F48" s="963" t="e">
        <f t="shared" si="12"/>
        <v>#VALUE!</v>
      </c>
      <c r="G48" s="965" t="e">
        <f t="shared" si="13"/>
        <v>#VALUE!</v>
      </c>
      <c r="H48" s="965" t="e">
        <f t="shared" si="14"/>
        <v>#VALUE!</v>
      </c>
      <c r="M48" s="963" t="s">
        <v>394</v>
      </c>
      <c r="N48" s="968" t="s">
        <v>112</v>
      </c>
      <c r="O48" s="968" t="s">
        <v>112</v>
      </c>
      <c r="P48" s="968" t="s">
        <v>112</v>
      </c>
      <c r="Q48" s="968" t="s">
        <v>396</v>
      </c>
      <c r="R48" s="968" t="s">
        <v>396</v>
      </c>
      <c r="S48" s="968" t="s">
        <v>398</v>
      </c>
      <c r="T48" s="968" t="s">
        <v>398</v>
      </c>
      <c r="U48" s="968">
        <v>3200</v>
      </c>
      <c r="V48" s="968">
        <v>3200</v>
      </c>
      <c r="W48" s="968">
        <v>3200</v>
      </c>
      <c r="X48" s="968">
        <v>3200</v>
      </c>
      <c r="Y48" s="968">
        <v>3300</v>
      </c>
      <c r="Z48" s="968">
        <v>3300</v>
      </c>
      <c r="AA48" s="968">
        <v>3400</v>
      </c>
      <c r="AB48" s="968">
        <v>3400</v>
      </c>
      <c r="AC48" s="968">
        <v>3400</v>
      </c>
      <c r="AD48" s="968">
        <v>3400</v>
      </c>
      <c r="AE48" s="968">
        <v>3400</v>
      </c>
      <c r="AF48" s="968">
        <v>3500</v>
      </c>
      <c r="AG48" s="968">
        <v>3500</v>
      </c>
      <c r="AH48" s="968">
        <v>3500</v>
      </c>
      <c r="AI48" s="968">
        <v>3500</v>
      </c>
      <c r="AJ48" s="968">
        <v>3500</v>
      </c>
      <c r="AK48" s="968">
        <v>3500</v>
      </c>
      <c r="AL48" s="968">
        <v>3500</v>
      </c>
      <c r="AM48" s="968">
        <v>3500</v>
      </c>
      <c r="AN48" s="968">
        <v>3500</v>
      </c>
      <c r="AO48" s="968">
        <v>3500</v>
      </c>
      <c r="AP48" s="968">
        <v>3500</v>
      </c>
      <c r="AQ48" s="968">
        <v>3500</v>
      </c>
      <c r="AR48" s="968">
        <v>3500</v>
      </c>
      <c r="AS48" s="968">
        <v>3500</v>
      </c>
      <c r="AT48" s="968">
        <v>3500</v>
      </c>
      <c r="AU48" s="968">
        <v>3500</v>
      </c>
      <c r="AV48" s="968">
        <v>3500</v>
      </c>
      <c r="AW48" s="968">
        <v>3500</v>
      </c>
      <c r="AX48" s="968">
        <v>3500</v>
      </c>
      <c r="AY48" s="968">
        <v>3500</v>
      </c>
      <c r="AZ48" s="968">
        <v>3500</v>
      </c>
      <c r="BA48" s="968">
        <v>3600</v>
      </c>
      <c r="BB48" s="968">
        <v>3600</v>
      </c>
      <c r="BC48" s="968">
        <v>3600</v>
      </c>
      <c r="BD48" s="968">
        <v>3600</v>
      </c>
      <c r="BE48" s="968">
        <v>3600</v>
      </c>
      <c r="BF48" s="968">
        <v>3600</v>
      </c>
      <c r="BG48" s="968">
        <v>3600</v>
      </c>
      <c r="BH48" s="968">
        <v>3600</v>
      </c>
      <c r="BI48" s="968">
        <v>3600</v>
      </c>
      <c r="BJ48" s="968">
        <v>3600</v>
      </c>
      <c r="BK48" s="968">
        <v>3600</v>
      </c>
      <c r="BL48" s="968">
        <v>3600</v>
      </c>
      <c r="BM48" s="968">
        <v>3600</v>
      </c>
      <c r="BN48" s="968">
        <v>3600</v>
      </c>
      <c r="BO48" s="968">
        <v>3600</v>
      </c>
      <c r="BP48" s="968">
        <v>3700</v>
      </c>
      <c r="BQ48" s="963" t="s">
        <v>112</v>
      </c>
      <c r="BR48" s="963" t="s">
        <v>112</v>
      </c>
      <c r="BS48" s="968">
        <v>3500</v>
      </c>
      <c r="BT48" s="968">
        <v>3500</v>
      </c>
      <c r="BU48" s="968">
        <v>3500</v>
      </c>
      <c r="BV48" s="968">
        <v>3500</v>
      </c>
      <c r="BW48" s="968">
        <v>3500</v>
      </c>
      <c r="BX48" s="968">
        <v>3500</v>
      </c>
      <c r="BY48" s="968">
        <v>3500</v>
      </c>
      <c r="BZ48" s="968">
        <v>3500</v>
      </c>
      <c r="CA48" s="968">
        <v>3500</v>
      </c>
      <c r="CB48" s="968">
        <v>3600</v>
      </c>
      <c r="CC48" s="968">
        <v>3800</v>
      </c>
      <c r="CD48" s="968">
        <v>3200</v>
      </c>
      <c r="CE48" s="968">
        <v>3200</v>
      </c>
      <c r="CF48" s="968">
        <v>3200</v>
      </c>
      <c r="CG48" s="968">
        <v>3200</v>
      </c>
      <c r="CH48" s="968">
        <v>3200</v>
      </c>
      <c r="CI48" s="968">
        <v>3200</v>
      </c>
      <c r="CJ48" s="968">
        <v>3200</v>
      </c>
      <c r="CK48" s="968">
        <v>3200</v>
      </c>
      <c r="CL48" s="968">
        <v>3200</v>
      </c>
      <c r="CM48" s="968"/>
      <c r="CN48" s="968"/>
      <c r="CO48" s="968"/>
      <c r="CP48" s="968"/>
      <c r="CQ48" s="968"/>
      <c r="CR48" s="968"/>
      <c r="CS48" s="968"/>
      <c r="CT48" s="968"/>
      <c r="CU48" s="968"/>
      <c r="CV48" s="968"/>
      <c r="CW48" s="968"/>
      <c r="CX48" s="968"/>
      <c r="CY48" s="968"/>
      <c r="CZ48" s="968"/>
      <c r="DA48" s="968"/>
      <c r="DB48" s="968"/>
      <c r="DC48" s="968"/>
      <c r="DD48" s="968"/>
      <c r="DE48" s="968"/>
      <c r="DF48" s="968"/>
      <c r="DG48" s="968"/>
      <c r="DH48" s="968"/>
      <c r="DI48" s="968"/>
      <c r="DJ48" s="968"/>
      <c r="DK48" s="968"/>
      <c r="DL48" s="968"/>
      <c r="DM48" s="968"/>
      <c r="DN48" s="968"/>
      <c r="DO48" s="968"/>
      <c r="DP48" s="968"/>
      <c r="DQ48" s="968"/>
      <c r="DR48" s="968"/>
      <c r="DS48" s="968"/>
      <c r="DT48" s="968"/>
      <c r="DU48" s="968"/>
      <c r="DV48" s="968"/>
      <c r="DW48" s="968"/>
      <c r="DX48" s="968"/>
      <c r="DY48" s="968"/>
      <c r="DZ48" s="968"/>
      <c r="EA48" s="968"/>
      <c r="EB48" s="968"/>
      <c r="EC48" s="968"/>
      <c r="ED48" s="968"/>
      <c r="EE48" s="968"/>
      <c r="EF48" s="968"/>
      <c r="EG48" s="968"/>
      <c r="EH48" s="968"/>
      <c r="EI48" s="968"/>
      <c r="EJ48" s="968"/>
      <c r="EK48" s="968"/>
      <c r="EL48" s="968"/>
      <c r="EM48" s="968"/>
      <c r="EN48" s="968"/>
      <c r="EO48" s="968"/>
      <c r="EP48" s="968"/>
      <c r="EQ48" s="968"/>
      <c r="ER48" s="968"/>
      <c r="ES48" s="968"/>
      <c r="ET48" s="968"/>
      <c r="EU48" s="968"/>
      <c r="EV48" s="968"/>
      <c r="EW48" s="968"/>
      <c r="EX48" s="968"/>
      <c r="EY48" s="968"/>
      <c r="EZ48" s="968"/>
      <c r="FA48" s="968"/>
      <c r="FB48" s="968"/>
      <c r="FC48" s="968"/>
      <c r="FD48" s="968"/>
      <c r="FE48" s="968"/>
      <c r="FF48" s="968"/>
      <c r="FG48" s="968"/>
      <c r="FH48" s="968"/>
      <c r="FI48" s="968"/>
      <c r="FJ48" s="968"/>
      <c r="FK48" s="968"/>
      <c r="FL48" s="968"/>
      <c r="FM48" s="968"/>
      <c r="FN48" s="968"/>
      <c r="FO48" s="968"/>
      <c r="FP48" s="968"/>
      <c r="FQ48" s="968"/>
      <c r="FR48" s="968"/>
      <c r="FS48" s="968"/>
      <c r="FT48" s="968"/>
      <c r="FU48" s="968"/>
      <c r="FV48" s="968"/>
      <c r="FW48" s="968"/>
      <c r="FX48" s="968"/>
      <c r="FY48" s="968"/>
      <c r="FZ48" s="968"/>
      <c r="GA48" s="968"/>
      <c r="GB48" s="968"/>
      <c r="GC48" s="968"/>
      <c r="GD48" s="968"/>
      <c r="GG48" s="968"/>
      <c r="GH48" s="968"/>
      <c r="GI48" s="968"/>
      <c r="GJ48" s="968"/>
      <c r="GK48" s="968"/>
      <c r="GL48" s="968"/>
      <c r="GM48" s="968"/>
      <c r="GP48" s="968"/>
      <c r="GQ48" s="968"/>
      <c r="GR48" s="968"/>
      <c r="GS48" s="968"/>
      <c r="GT48" s="968"/>
      <c r="GU48" s="968"/>
      <c r="GV48" s="968"/>
      <c r="GW48" s="968"/>
      <c r="GX48" s="968"/>
      <c r="GY48" s="968"/>
      <c r="GZ48" s="968"/>
      <c r="HA48" s="968"/>
      <c r="HB48" s="968"/>
      <c r="HC48" s="968"/>
      <c r="HD48" s="968"/>
      <c r="HE48" s="968"/>
      <c r="HF48" s="968"/>
      <c r="HG48" s="968"/>
      <c r="HH48" s="968"/>
      <c r="HI48" s="968"/>
      <c r="HJ48" s="968"/>
      <c r="HK48" s="968"/>
      <c r="HL48" s="968"/>
      <c r="HM48" s="968"/>
      <c r="HN48" s="968"/>
      <c r="HO48" s="968"/>
      <c r="HP48" s="968"/>
      <c r="HQ48" s="968"/>
      <c r="HR48" s="968"/>
      <c r="HS48" s="968"/>
      <c r="HT48" s="968"/>
      <c r="HU48" s="968"/>
      <c r="HV48" s="968"/>
      <c r="HW48" s="968"/>
      <c r="HX48" s="968"/>
      <c r="HY48" s="968"/>
      <c r="HZ48" s="968"/>
      <c r="IA48" s="968"/>
      <c r="IB48" s="968"/>
      <c r="IC48" s="968"/>
      <c r="ID48" s="968"/>
      <c r="IE48" s="968"/>
      <c r="IF48" s="968"/>
      <c r="IG48" s="968"/>
      <c r="IH48" s="968"/>
      <c r="II48" s="968"/>
      <c r="IJ48" s="968"/>
      <c r="IK48" s="968"/>
      <c r="IL48" s="968"/>
      <c r="IM48" s="968"/>
      <c r="IN48" s="968"/>
      <c r="IO48" s="968"/>
      <c r="IP48" s="968"/>
      <c r="IQ48" s="968"/>
      <c r="IR48" s="968"/>
      <c r="IS48" s="968"/>
      <c r="IT48" s="968"/>
      <c r="IU48" s="968"/>
      <c r="IV48" s="968"/>
      <c r="IW48" s="968"/>
      <c r="IX48" s="968"/>
      <c r="IY48" s="968"/>
      <c r="IZ48" s="968"/>
      <c r="JA48" s="968"/>
      <c r="JB48" s="968"/>
      <c r="JC48" s="968"/>
      <c r="JD48" s="968"/>
      <c r="JE48" s="968"/>
      <c r="JF48" s="968"/>
      <c r="JG48" s="968"/>
      <c r="JH48" s="968"/>
      <c r="JI48" s="968"/>
      <c r="JJ48" s="968"/>
      <c r="JK48" s="968"/>
      <c r="JL48" s="968"/>
      <c r="JM48" s="968"/>
      <c r="JN48" s="968"/>
      <c r="JO48" s="968"/>
      <c r="JP48" s="968"/>
      <c r="JQ48" s="968"/>
      <c r="JR48" s="968"/>
      <c r="JS48" s="968"/>
    </row>
    <row r="49" spans="1:279">
      <c r="A49" s="965" t="e">
        <f>A48+31</f>
        <v>#VALUE!</v>
      </c>
      <c r="C49" s="971" t="e">
        <f t="shared" si="9"/>
        <v>#VALUE!</v>
      </c>
      <c r="D49" s="968" t="e">
        <f t="shared" si="10"/>
        <v>#VALUE!</v>
      </c>
      <c r="E49" s="963" t="e">
        <f t="shared" si="11"/>
        <v>#VALUE!</v>
      </c>
      <c r="F49" s="963" t="e">
        <f t="shared" si="12"/>
        <v>#VALUE!</v>
      </c>
      <c r="G49" s="965" t="e">
        <f t="shared" si="13"/>
        <v>#VALUE!</v>
      </c>
      <c r="H49" s="965" t="e">
        <f t="shared" si="14"/>
        <v>#VALUE!</v>
      </c>
      <c r="N49" s="968" t="s">
        <v>397</v>
      </c>
      <c r="O49" s="968" t="s">
        <v>421</v>
      </c>
      <c r="P49" s="968" t="s">
        <v>466</v>
      </c>
      <c r="Q49" s="968" t="s">
        <v>422</v>
      </c>
      <c r="R49" s="968" t="s">
        <v>423</v>
      </c>
      <c r="S49" s="968" t="s">
        <v>424</v>
      </c>
      <c r="T49" s="968" t="s">
        <v>425</v>
      </c>
      <c r="U49" s="968" t="s">
        <v>428</v>
      </c>
      <c r="V49" s="968" t="s">
        <v>429</v>
      </c>
      <c r="W49" s="968" t="s">
        <v>434</v>
      </c>
      <c r="X49" s="968" t="s">
        <v>430</v>
      </c>
      <c r="Y49" s="968" t="s">
        <v>428</v>
      </c>
      <c r="Z49" s="968" t="s">
        <v>429</v>
      </c>
      <c r="AA49" s="968" t="s">
        <v>428</v>
      </c>
      <c r="AB49" s="968" t="s">
        <v>429</v>
      </c>
      <c r="AC49" s="968" t="s">
        <v>431</v>
      </c>
      <c r="AD49" s="968" t="s">
        <v>435</v>
      </c>
      <c r="AE49" s="968" t="s">
        <v>432</v>
      </c>
      <c r="AF49" s="968" t="s">
        <v>428</v>
      </c>
      <c r="AG49" s="968" t="s">
        <v>434</v>
      </c>
      <c r="AH49" s="968" t="s">
        <v>431</v>
      </c>
      <c r="AI49" s="968" t="s">
        <v>435</v>
      </c>
      <c r="AJ49" s="968" t="s">
        <v>468</v>
      </c>
      <c r="AK49" s="968" t="s">
        <v>436</v>
      </c>
      <c r="AL49" s="968" t="s">
        <v>446</v>
      </c>
      <c r="AM49" s="968" t="s">
        <v>437</v>
      </c>
      <c r="AN49" s="968" t="s">
        <v>422</v>
      </c>
      <c r="AO49" s="968" t="s">
        <v>571</v>
      </c>
      <c r="AP49" s="968" t="s">
        <v>453</v>
      </c>
      <c r="AQ49" s="968" t="s">
        <v>649</v>
      </c>
      <c r="AR49" s="968" t="s">
        <v>439</v>
      </c>
      <c r="AS49" s="968" t="s">
        <v>447</v>
      </c>
      <c r="AT49" s="968" t="s">
        <v>650</v>
      </c>
      <c r="AU49" s="968" t="s">
        <v>651</v>
      </c>
      <c r="AV49" s="968" t="s">
        <v>652</v>
      </c>
      <c r="AW49" s="968" t="s">
        <v>441</v>
      </c>
      <c r="AX49" s="968" t="s">
        <v>442</v>
      </c>
      <c r="AY49" s="968" t="s">
        <v>443</v>
      </c>
      <c r="AZ49" s="968" t="s">
        <v>653</v>
      </c>
      <c r="BA49" s="968" t="s">
        <v>428</v>
      </c>
      <c r="BB49" s="968" t="s">
        <v>429</v>
      </c>
      <c r="BC49" s="968" t="s">
        <v>434</v>
      </c>
      <c r="BD49" s="968" t="s">
        <v>430</v>
      </c>
      <c r="BE49" s="968" t="s">
        <v>435</v>
      </c>
      <c r="BF49" s="968" t="s">
        <v>678</v>
      </c>
      <c r="BG49" s="968" t="s">
        <v>446</v>
      </c>
      <c r="BH49" s="968" t="s">
        <v>679</v>
      </c>
      <c r="BI49" s="968" t="s">
        <v>438</v>
      </c>
      <c r="BJ49" s="968" t="s">
        <v>571</v>
      </c>
      <c r="BK49" s="968" t="s">
        <v>680</v>
      </c>
      <c r="BL49" s="968" t="s">
        <v>424</v>
      </c>
      <c r="BM49" s="968" t="s">
        <v>439</v>
      </c>
      <c r="BN49" s="968" t="s">
        <v>440</v>
      </c>
      <c r="BO49" s="968" t="s">
        <v>447</v>
      </c>
      <c r="BP49" s="968" t="s">
        <v>428</v>
      </c>
      <c r="BQ49" s="968" t="s">
        <v>458</v>
      </c>
      <c r="BR49" s="968" t="s">
        <v>459</v>
      </c>
      <c r="BS49" s="968" t="s">
        <v>429</v>
      </c>
      <c r="BT49" s="968" t="s">
        <v>654</v>
      </c>
      <c r="BU49" s="968" t="s">
        <v>655</v>
      </c>
      <c r="BV49" s="968" t="s">
        <v>656</v>
      </c>
      <c r="BW49" s="968" t="s">
        <v>657</v>
      </c>
      <c r="BX49" s="968" t="s">
        <v>658</v>
      </c>
      <c r="BY49" s="968" t="s">
        <v>659</v>
      </c>
      <c r="BZ49" s="968" t="s">
        <v>660</v>
      </c>
      <c r="CA49" s="968" t="s">
        <v>661</v>
      </c>
      <c r="CB49" s="968" t="s">
        <v>431</v>
      </c>
      <c r="CC49" s="968" t="s">
        <v>429</v>
      </c>
      <c r="CD49" s="968" t="s">
        <v>435</v>
      </c>
      <c r="CE49" s="968" t="s">
        <v>432</v>
      </c>
      <c r="CF49" s="968" t="s">
        <v>468</v>
      </c>
      <c r="CG49" s="968" t="s">
        <v>436</v>
      </c>
      <c r="CH49" s="968" t="s">
        <v>437</v>
      </c>
      <c r="CI49" s="968" t="s">
        <v>679</v>
      </c>
      <c r="CJ49" s="968" t="s">
        <v>422</v>
      </c>
      <c r="CK49" s="968" t="s">
        <v>571</v>
      </c>
      <c r="CL49" s="968" t="s">
        <v>680</v>
      </c>
      <c r="CM49" s="968"/>
      <c r="CN49" s="968"/>
      <c r="CO49" s="968"/>
      <c r="CP49" s="968"/>
      <c r="CQ49" s="968"/>
      <c r="CR49" s="968"/>
      <c r="CS49" s="968"/>
      <c r="CT49" s="968"/>
      <c r="CU49" s="968"/>
      <c r="CV49" s="968"/>
      <c r="CW49" s="968"/>
      <c r="CX49" s="968"/>
      <c r="CY49" s="968"/>
      <c r="CZ49" s="968"/>
      <c r="DA49" s="968"/>
      <c r="DB49" s="968"/>
      <c r="DC49" s="968"/>
      <c r="DD49" s="968"/>
      <c r="DE49" s="968"/>
      <c r="DF49" s="968"/>
      <c r="DG49" s="968"/>
      <c r="DH49" s="968"/>
      <c r="DI49" s="968"/>
      <c r="DJ49" s="968"/>
      <c r="DK49" s="968"/>
      <c r="DL49" s="968"/>
      <c r="DM49" s="968"/>
      <c r="DN49" s="968"/>
      <c r="DO49" s="968"/>
      <c r="DP49" s="968"/>
      <c r="DQ49" s="968"/>
      <c r="DR49" s="968"/>
      <c r="DS49" s="968"/>
      <c r="DT49" s="968"/>
      <c r="DU49" s="968"/>
      <c r="DV49" s="968"/>
      <c r="DW49" s="968"/>
      <c r="DX49" s="968"/>
      <c r="DY49" s="968"/>
      <c r="DZ49" s="968"/>
      <c r="EA49" s="968"/>
      <c r="EB49" s="968"/>
      <c r="EC49" s="968"/>
      <c r="ED49" s="968"/>
      <c r="EE49" s="968"/>
      <c r="EF49" s="968"/>
      <c r="EG49" s="968"/>
      <c r="EH49" s="968"/>
      <c r="EI49" s="968"/>
      <c r="EJ49" s="968"/>
      <c r="EK49" s="968"/>
      <c r="EL49" s="968"/>
      <c r="EM49" s="968"/>
      <c r="EN49" s="968"/>
      <c r="EO49" s="968"/>
      <c r="EP49" s="968"/>
      <c r="EQ49" s="968"/>
      <c r="ER49" s="968"/>
      <c r="ES49" s="968"/>
      <c r="ET49" s="968"/>
      <c r="EU49" s="968"/>
      <c r="EV49" s="968"/>
      <c r="EW49" s="968"/>
      <c r="EX49" s="968"/>
      <c r="EY49" s="968"/>
      <c r="EZ49" s="968"/>
      <c r="FA49" s="968"/>
      <c r="FB49" s="968"/>
      <c r="FC49" s="968"/>
      <c r="FD49" s="968"/>
      <c r="FE49" s="968"/>
      <c r="FF49" s="968"/>
      <c r="FG49" s="968"/>
      <c r="FH49" s="968"/>
      <c r="FI49" s="968"/>
      <c r="FJ49" s="968"/>
      <c r="FK49" s="968"/>
      <c r="FL49" s="968"/>
      <c r="FM49" s="968"/>
      <c r="FN49" s="968"/>
      <c r="FO49" s="968"/>
      <c r="FP49" s="968"/>
      <c r="FQ49" s="968"/>
      <c r="FR49" s="968"/>
      <c r="FS49" s="968"/>
      <c r="FT49" s="968"/>
      <c r="FU49" s="968"/>
      <c r="FV49" s="968"/>
      <c r="FW49" s="968"/>
      <c r="FX49" s="968"/>
      <c r="FY49" s="968"/>
      <c r="FZ49" s="968"/>
      <c r="GA49" s="968"/>
      <c r="GB49" s="968"/>
      <c r="GC49" s="968"/>
      <c r="GD49" s="968"/>
      <c r="GG49" s="968"/>
      <c r="GH49" s="968"/>
      <c r="GI49" s="968"/>
      <c r="GJ49" s="968"/>
      <c r="GK49" s="968"/>
      <c r="GL49" s="968"/>
      <c r="GM49" s="968"/>
      <c r="GP49" s="968"/>
      <c r="GQ49" s="968"/>
      <c r="GR49" s="968"/>
      <c r="GS49" s="968"/>
      <c r="GT49" s="968"/>
      <c r="GU49" s="968"/>
      <c r="GV49" s="968"/>
      <c r="GW49" s="968"/>
      <c r="GX49" s="968"/>
      <c r="GY49" s="968"/>
      <c r="GZ49" s="968"/>
      <c r="HA49" s="968"/>
      <c r="HB49" s="968"/>
      <c r="HC49" s="968"/>
      <c r="HD49" s="968"/>
      <c r="HE49" s="968"/>
      <c r="HF49" s="968"/>
      <c r="HG49" s="968"/>
      <c r="HH49" s="968"/>
      <c r="HI49" s="968"/>
      <c r="HJ49" s="968"/>
      <c r="HK49" s="968"/>
      <c r="HL49" s="968"/>
      <c r="HM49" s="968"/>
      <c r="HN49" s="968"/>
      <c r="HO49" s="968"/>
      <c r="HP49" s="968"/>
      <c r="HQ49" s="968"/>
      <c r="HR49" s="968"/>
      <c r="HS49" s="968"/>
      <c r="HT49" s="968"/>
      <c r="HU49" s="968"/>
      <c r="HV49" s="968"/>
      <c r="HW49" s="968"/>
      <c r="HX49" s="968"/>
      <c r="HY49" s="968"/>
      <c r="HZ49" s="968"/>
      <c r="IA49" s="968"/>
      <c r="IB49" s="968"/>
      <c r="IC49" s="968"/>
      <c r="ID49" s="968"/>
      <c r="IE49" s="968"/>
      <c r="IF49" s="968"/>
      <c r="IG49" s="968"/>
      <c r="IH49" s="968"/>
      <c r="II49" s="968"/>
      <c r="IJ49" s="968"/>
      <c r="IK49" s="968"/>
      <c r="IL49" s="968"/>
      <c r="IM49" s="968"/>
      <c r="IN49" s="968"/>
      <c r="IO49" s="968"/>
      <c r="IP49" s="968"/>
      <c r="IQ49" s="968"/>
      <c r="IR49" s="968"/>
      <c r="IS49" s="968"/>
      <c r="IT49" s="968"/>
      <c r="IU49" s="968"/>
      <c r="IV49" s="968"/>
      <c r="IW49" s="968"/>
      <c r="IX49" s="968"/>
      <c r="IY49" s="968"/>
      <c r="IZ49" s="968"/>
      <c r="JA49" s="968"/>
      <c r="JB49" s="968"/>
      <c r="JC49" s="968"/>
      <c r="JD49" s="968"/>
      <c r="JE49" s="968"/>
      <c r="JF49" s="968"/>
      <c r="JG49" s="968"/>
      <c r="JH49" s="968"/>
      <c r="JI49" s="968"/>
      <c r="JJ49" s="968"/>
      <c r="JK49" s="968"/>
      <c r="JL49" s="968"/>
      <c r="JM49" s="968"/>
      <c r="JN49" s="968"/>
      <c r="JO49" s="968"/>
      <c r="JP49" s="968"/>
      <c r="JQ49" s="968"/>
      <c r="JR49" s="968"/>
      <c r="JS49" s="968"/>
    </row>
    <row r="50" spans="1:279" s="982" customFormat="1" ht="59.25" customHeight="1">
      <c r="A50" s="981" t="e">
        <f>A49+30</f>
        <v>#VALUE!</v>
      </c>
      <c r="C50" s="983" t="e">
        <f t="shared" si="9"/>
        <v>#VALUE!</v>
      </c>
      <c r="D50" s="984" t="e">
        <f t="shared" si="10"/>
        <v>#VALUE!</v>
      </c>
      <c r="E50" s="982" t="e">
        <f t="shared" si="11"/>
        <v>#VALUE!</v>
      </c>
      <c r="F50" s="982" t="e">
        <f t="shared" si="12"/>
        <v>#VALUE!</v>
      </c>
      <c r="G50" s="981" t="e">
        <f t="shared" si="13"/>
        <v>#VALUE!</v>
      </c>
      <c r="H50" s="981" t="e">
        <f t="shared" si="14"/>
        <v>#VALUE!</v>
      </c>
      <c r="N50" s="984" t="s">
        <v>132</v>
      </c>
      <c r="O50" s="984" t="str">
        <f>'F1  Cover'!A32</f>
        <v xml:space="preserve">Esc </v>
      </c>
      <c r="P50" s="984" t="str">
        <f>'F1  Cover'!B38</f>
        <v>Retention @ 10%</v>
      </c>
      <c r="Q50" s="984" t="str">
        <f>'Pg 1 Payment'!B26</f>
        <v>Deduct: Previous certificate (A)</v>
      </c>
      <c r="R50" s="984" t="str">
        <f>'Pg 1 Payment'!B26</f>
        <v>Deduct: Previous certificate (A)</v>
      </c>
      <c r="S50" s="984" t="str">
        <f>'Pg 2 Sum Scheduled'!B26</f>
        <v>Deduct: Previous Certificate Escalatable work (C)</v>
      </c>
      <c r="T50" s="984" t="str">
        <f>'Pg 2 Sum Scheduled'!B26</f>
        <v>Deduct: Previous Certificate Escalatable work (C)</v>
      </c>
      <c r="U50" s="984" t="str">
        <f>'3200'!B9</f>
        <v>(a) Road Condition Report Fee (based on Hours tendered for stage)</v>
      </c>
      <c r="V50" s="984" t="str">
        <f>'3200'!B10</f>
        <v>(b) Travel and subsistence cost</v>
      </c>
      <c r="W50" s="984" t="str">
        <f>'3200'!B11</f>
        <v>(c) Toll fees</v>
      </c>
      <c r="X50" s="984" t="str">
        <f>'3200'!B12</f>
        <v>Occupational Health and Safety requirements</v>
      </c>
      <c r="Y50" s="984" t="str">
        <f>'3300'!B9</f>
        <v>(a)   Preparation of Tender Documents Fee (based on Hours tendered for stage)</v>
      </c>
      <c r="Z50" s="984" t="str">
        <f>'3300'!B10</f>
        <v>(b)   Tender Documents in electronic format</v>
      </c>
      <c r="AA50" s="984" t="str">
        <f>'3400'!B9</f>
        <v>(a)   Service Providers’ Cost</v>
      </c>
      <c r="AB50" s="982" t="str">
        <f>'3400'!B10</f>
        <v>(b)   Provision for venue and bus</v>
      </c>
      <c r="AC50" s="982" t="str">
        <f>'3400'!B13</f>
        <v>(a)   Tender Evaluation and Report</v>
      </c>
      <c r="AD50" s="982" t="str">
        <f>'3400'!B14</f>
        <v>(b)   Disbursements</v>
      </c>
      <c r="AE50" s="982" t="str">
        <f>'3400'!B15</f>
        <v>Preparation of Works contract documents</v>
      </c>
      <c r="AF50" s="982" t="str">
        <f>'3500'!B9</f>
        <v>(a) (i)  Cost to fulfil the duties of Engineer</v>
      </c>
      <c r="AG50" s="982" t="str">
        <f>'3500'!B11</f>
        <v>(b)   Head Office overhead costs</v>
      </c>
      <c r="AH50" s="982" t="str">
        <f>'3500'!B13</f>
        <v xml:space="preserve">     (i)  Continuous compliance and monthly internal audits</v>
      </c>
      <c r="AI50" s="982" t="str">
        <f>'3500'!B14</f>
        <v xml:space="preserve">      (ii) External audits</v>
      </c>
      <c r="AJ50" s="982" t="str">
        <f>'3500'!B17</f>
        <v xml:space="preserve">     (i)  Training by Contract Engineer</v>
      </c>
      <c r="AK50" s="982" t="e">
        <f>'3500'!#REF!</f>
        <v>#REF!</v>
      </c>
      <c r="AL50" s="982" t="e">
        <f>'3500'!#REF!</f>
        <v>#REF!</v>
      </c>
      <c r="AM50" s="982" t="str">
        <f>'3500'!B18</f>
        <v>(e)   Extra over items 35.01(a), (b) and (c)(i) for additional roads  (Note to compiler:  Make Quantity zero if additional roads are not known/required)</v>
      </c>
      <c r="AN50" s="982" t="str">
        <f>'3500'!B20</f>
        <v>(a)   Relocation cost of individual site personnel</v>
      </c>
      <c r="AO50" s="982" t="str">
        <f>'3500'!B22</f>
        <v>(c)   Establishment of office equipment</v>
      </c>
      <c r="AP50" s="982" t="str">
        <f>'3500'!B24</f>
        <v>(a)   Site Supervision Staff</v>
      </c>
      <c r="AQ50" s="982" t="str">
        <f>'3500'!B26</f>
        <v>(c)   Project Liaison Officer</v>
      </c>
      <c r="AR50" s="982" t="str">
        <f>'3500'!B28</f>
        <v>(e)   Accommodation</v>
      </c>
      <c r="AS50" s="982" t="str">
        <f>'3500'!B30</f>
        <v>(g)   Provision and monthly cost of office equipment</v>
      </c>
      <c r="AT50" s="982" t="str">
        <f>'3500'!B31</f>
        <v>(h)   Trainee</v>
      </c>
      <c r="AU50" s="982" t="str">
        <f>'3500'!B34</f>
        <v>(a)   Travelling to perform duties</v>
      </c>
      <c r="AV50" s="982" t="str">
        <f>'3500'!B36</f>
        <v>(c)   Toll fees</v>
      </c>
      <c r="AW50" s="982" t="str">
        <f>'3500'!B38</f>
        <v>(a)   Service Provider’s cost</v>
      </c>
      <c r="AX50" s="982" t="str">
        <f>'3500'!B39</f>
        <v>(b)   Tender Evaluation</v>
      </c>
      <c r="AY50" s="982" t="str">
        <f>'3500'!B40</f>
        <v>(c)   Evaluation Report</v>
      </c>
      <c r="AZ50" s="982" t="str">
        <f>'3500'!B41</f>
        <v xml:space="preserve"> Reporting of structures safety inspections</v>
      </c>
      <c r="BA50" s="982" t="str">
        <f>'3600'!B9</f>
        <v>(a)   Personnel – Category A</v>
      </c>
      <c r="BB50" s="982" t="str">
        <f>'3600'!B10</f>
        <v>(b)   Personnel – Category B</v>
      </c>
      <c r="BC50" s="982" t="str">
        <f>'3600'!B11</f>
        <v>(c)   Personnel – Category C</v>
      </c>
      <c r="BD50" s="982" t="str">
        <f>'3600'!B12</f>
        <v>(d)   Personnel – Category D</v>
      </c>
      <c r="BE50" s="982" t="str">
        <f>'3600'!B14</f>
        <v>Additional duties by Employer</v>
      </c>
      <c r="BF50" s="982" t="str">
        <f>'3600'!B16</f>
        <v>(a)   Disbursements</v>
      </c>
      <c r="BG50" s="982" t="str">
        <f>'3600'!B19</f>
        <v>(a)   Additional duties</v>
      </c>
      <c r="BH50" s="982" t="str">
        <f>'3600'!B21</f>
        <v>Payment and Monthly reporting costs</v>
      </c>
      <c r="BI50" s="982" t="str">
        <f>'3600'!B23</f>
        <v>(a)   Establishment of PLC</v>
      </c>
      <c r="BJ50" s="982" t="str">
        <f>'3600'!B24</f>
        <v>(b)   Liaison/meetings with the PLC during Design and Construction Phase</v>
      </c>
      <c r="BK50" s="982" t="str">
        <f>'3600'!B25</f>
        <v>(c)   PLC stipend</v>
      </c>
      <c r="BL50" s="982" t="str">
        <f>'3600'!B27</f>
        <v>(e)  Training of PLC members</v>
      </c>
      <c r="BM50" s="982" t="str">
        <f>'3600'!B30</f>
        <v>(a)   Market Analysis</v>
      </c>
      <c r="BN50" s="982" t="str">
        <f>'3600'!B31</f>
        <v>(b)   Establishment and maintenance of Targeted Enterprise database</v>
      </c>
      <c r="BO50" s="982" t="str">
        <f>'3600'!B32</f>
        <v>(c)   Establishment and maintenance of a Targeted Labour database</v>
      </c>
      <c r="BP50" s="982" t="str">
        <f>'3700'!B9</f>
        <v>(a)   Off-site testing by an external SANAS accredited laboratory</v>
      </c>
      <c r="BQ50" s="982" t="str">
        <f>'F1  Cover'!A34</f>
        <v>WAF</v>
      </c>
      <c r="BR50" s="982" t="str">
        <f>'F1  Cover'!A36</f>
        <v>PEN</v>
      </c>
      <c r="BS50" s="982" t="str">
        <f>'3500'!B10</f>
        <v>(a) (ii)  Disbursements</v>
      </c>
      <c r="BT50" s="982" t="str">
        <f>'3500'!B44</f>
        <v xml:space="preserve">     (i) Level 1 incident</v>
      </c>
      <c r="BU50" s="982" t="str">
        <f>'3500'!B45</f>
        <v xml:space="preserve">     (ii) Level 2 incident</v>
      </c>
      <c r="BV50" s="982" t="str">
        <f>'3500'!B46</f>
        <v xml:space="preserve">     (iii) Level 3 incident</v>
      </c>
      <c r="BW50" s="982" t="str">
        <f>'3500'!B47</f>
        <v xml:space="preserve">     (iv) Level 4 incident</v>
      </c>
      <c r="BX50" s="982" t="str">
        <f>'3500'!B48</f>
        <v>(b) Post-rain or seismic event inspection</v>
      </c>
      <c r="BY50" s="982" t="str">
        <f>'3500'!B49</f>
        <v>(c) Routine Maintenance Inspections</v>
      </c>
      <c r="BZ50" s="982" t="str">
        <f>'3500'!B50</f>
        <v>(d) Continuous monitoring</v>
      </c>
      <c r="CA50" s="982" t="str">
        <f>'3500'!B51</f>
        <v>(e) Reporting and record keeping costs</v>
      </c>
      <c r="CB50" s="982" t="str">
        <f>'3600'!B13</f>
        <v>(e)   Emergency</v>
      </c>
      <c r="CC50" s="982" t="str">
        <f>'3800'!B10</f>
        <v xml:space="preserve">     (i) Fee (based on Hours tendered for stage)</v>
      </c>
      <c r="CD50" s="982" t="str">
        <f>'3200'!B14</f>
        <v>(a) Environmental services during design stage</v>
      </c>
      <c r="CE50" s="982" t="str">
        <f>'3200'!B15</f>
        <v>(b) Cost for procuring and managing sub-service provider under sub-item 32.03 (a)</v>
      </c>
      <c r="CF50" s="982" t="str">
        <f>'3200'!B17</f>
        <v>(a)   Establishment of personnel and equipment for test pitting</v>
      </c>
      <c r="CG50" s="982" t="str">
        <f>'3200'!B18</f>
        <v>(b)   Hire and operation of excavator</v>
      </c>
      <c r="CH50" s="982" t="str">
        <f>'3200'!B20</f>
        <v>(d)   Test pit excavation by hand</v>
      </c>
      <c r="CI50" s="982" t="str">
        <f>'3200'!B21</f>
        <v>(e)   Sampling and profiling of test pits</v>
      </c>
      <c r="CJ50" s="982" t="str">
        <f>'3200'!B22</f>
        <v>(f)    DCP</v>
      </c>
      <c r="CK50" s="982" t="str">
        <f>'3200'!B24</f>
        <v xml:space="preserve">  (i) Large bags</v>
      </c>
      <c r="CL50" s="982" t="str">
        <f>'3200'!B25</f>
        <v xml:space="preserve">  (ii) Small bags</v>
      </c>
    </row>
    <row r="51" spans="1:279">
      <c r="A51" s="965" t="e">
        <f>A50+31</f>
        <v>#VALUE!</v>
      </c>
      <c r="C51" s="971" t="e">
        <f t="shared" si="9"/>
        <v>#VALUE!</v>
      </c>
      <c r="D51" s="968" t="e">
        <f t="shared" si="10"/>
        <v>#VALUE!</v>
      </c>
      <c r="E51" s="963" t="e">
        <f t="shared" si="11"/>
        <v>#VALUE!</v>
      </c>
      <c r="F51" s="963" t="e">
        <f t="shared" si="12"/>
        <v>#VALUE!</v>
      </c>
      <c r="G51" s="965" t="e">
        <f t="shared" si="13"/>
        <v>#VALUE!</v>
      </c>
      <c r="H51" s="965" t="e">
        <f t="shared" si="14"/>
        <v>#VALUE!</v>
      </c>
    </row>
    <row r="52" spans="1:279">
      <c r="A52" s="965" t="e">
        <f>A51+31</f>
        <v>#VALUE!</v>
      </c>
      <c r="C52" s="971" t="e">
        <f t="shared" si="9"/>
        <v>#VALUE!</v>
      </c>
      <c r="D52" s="968" t="e">
        <f t="shared" si="10"/>
        <v>#VALUE!</v>
      </c>
      <c r="E52" s="963" t="e">
        <f t="shared" si="11"/>
        <v>#VALUE!</v>
      </c>
      <c r="F52" s="963" t="e">
        <f t="shared" si="12"/>
        <v>#VALUE!</v>
      </c>
      <c r="G52" s="965" t="e">
        <f t="shared" si="13"/>
        <v>#VALUE!</v>
      </c>
      <c r="H52" s="965" t="e">
        <f t="shared" si="14"/>
        <v>#VALUE!</v>
      </c>
      <c r="L52" s="972" t="s">
        <v>391</v>
      </c>
      <c r="M52" s="968">
        <f>IF(M53="",0,IF(M53=0,0,M53-1))</f>
        <v>0</v>
      </c>
      <c r="N52" s="985" t="str">
        <f>VLOOKUP($M$52,$M$57:$ZZ$207,2,FALSE)</f>
        <v>30/09/2026</v>
      </c>
      <c r="O52" s="986">
        <f>O56</f>
        <v>0</v>
      </c>
      <c r="P52" s="986">
        <f>P56</f>
        <v>0</v>
      </c>
      <c r="Q52" s="986">
        <f>VLOOKUP($M$52,$M$57:$ZZ$207,5,FALSE)</f>
        <v>0</v>
      </c>
      <c r="R52" s="986">
        <f>VLOOKUP($M$52,$M$57:$ZZ$207,6,FALSE)</f>
        <v>0</v>
      </c>
      <c r="S52" s="986">
        <f>VLOOKUP($M$52,$M$57:$ZZ$207,7,FALSE)</f>
        <v>0</v>
      </c>
      <c r="T52" s="986">
        <f>VLOOKUP($M$52,$M$57:$ZZ$207,8,FALSE)</f>
        <v>0</v>
      </c>
      <c r="U52" s="976">
        <f>VLOOKUP($M$52,$M$57:$ZZ$207,9,FALSE)</f>
        <v>0</v>
      </c>
      <c r="V52" s="976">
        <f>VLOOKUP($M$52,$M$57:$ZZ$207,10,FALSE)</f>
        <v>0</v>
      </c>
      <c r="W52" s="976">
        <f>VLOOKUP($M$52,$M$57:$ZZ$207,11,FALSE)</f>
        <v>0</v>
      </c>
      <c r="X52" s="976">
        <f>VLOOKUP($M$52,$M$57:$ZZ$207,12,FALSE)</f>
        <v>0</v>
      </c>
      <c r="Y52" s="976">
        <f>VLOOKUP($M$52,$M$57:$ZZ$207,13,FALSE)</f>
        <v>0</v>
      </c>
      <c r="Z52" s="976">
        <f>VLOOKUP($M$52,$M$57:$ZZ$207,14,FALSE)</f>
        <v>0</v>
      </c>
      <c r="AA52" s="976">
        <f>VLOOKUP($M$52,$M$57:$ZZ$207,15,FALSE)</f>
        <v>0</v>
      </c>
      <c r="AB52" s="976">
        <f>VLOOKUP($M$52,$M$57:$ZZ$207,16,FALSE)</f>
        <v>0</v>
      </c>
      <c r="AC52" s="976">
        <f>VLOOKUP($M$52,$M$57:$ZZ$207,17,FALSE)</f>
        <v>0</v>
      </c>
      <c r="AD52" s="976">
        <f>VLOOKUP($M$52,$M$57:$ZZ$207,18,FALSE)</f>
        <v>0</v>
      </c>
      <c r="AE52" s="976">
        <f>VLOOKUP($M$52,$M$57:$ZZ$207,19,FALSE)</f>
        <v>0</v>
      </c>
      <c r="AF52" s="976">
        <f>VLOOKUP($M$52,$M$57:$ZZ$207,20,FALSE)</f>
        <v>0</v>
      </c>
      <c r="AG52" s="976">
        <f>VLOOKUP($M$52,$M$57:$ZZ$207,21,FALSE)</f>
        <v>0</v>
      </c>
      <c r="AH52" s="976">
        <f>VLOOKUP($M$52,$M$57:$ZZ$207,22,FALSE)</f>
        <v>0</v>
      </c>
      <c r="AI52" s="976">
        <f>VLOOKUP($M$52,$M$57:$ZZ$207,23,FALSE)</f>
        <v>0</v>
      </c>
      <c r="AJ52" s="976">
        <f>VLOOKUP($M$52,$M$57:$ZZ$207,24,FALSE)</f>
        <v>0</v>
      </c>
      <c r="AK52" s="976">
        <f>VLOOKUP($M$52,$M$57:$ZZ$207,25,FALSE)</f>
        <v>0</v>
      </c>
      <c r="AL52" s="976">
        <f>VLOOKUP($M$52,$M$57:$ZZ$207,26,FALSE)</f>
        <v>0</v>
      </c>
      <c r="AM52" s="976">
        <f>VLOOKUP($M$52,$M$57:$ZZ$207,27,FALSE)</f>
        <v>0</v>
      </c>
      <c r="AN52" s="976">
        <f>VLOOKUP($M$52,$M$57:$ZZ$207,28,FALSE)</f>
        <v>0</v>
      </c>
      <c r="AO52" s="976">
        <f>VLOOKUP($M$52,$M$57:$ZZ$207,29,FALSE)</f>
        <v>0</v>
      </c>
      <c r="AP52" s="976">
        <f>VLOOKUP($M$52,$M$57:$ZZ$207,30,FALSE)</f>
        <v>0</v>
      </c>
      <c r="AQ52" s="976">
        <f>VLOOKUP($M$52,$M$57:$ZZ$207,31,FALSE)</f>
        <v>0</v>
      </c>
      <c r="AR52" s="976">
        <f>VLOOKUP($M$52,$M$57:$ZZ$207,32,FALSE)</f>
        <v>0</v>
      </c>
      <c r="AS52" s="976">
        <f>VLOOKUP($M$52,$M$57:$ZZ$207,33,FALSE)</f>
        <v>0</v>
      </c>
      <c r="AT52" s="976">
        <f>VLOOKUP($M$52,$M$57:$ZZ$207,34,FALSE)</f>
        <v>0</v>
      </c>
      <c r="AU52" s="976">
        <f>VLOOKUP($M$52,$M$57:$ZZ$207,35,FALSE)</f>
        <v>0</v>
      </c>
      <c r="AV52" s="976">
        <f>VLOOKUP($M$52,$M$57:$ZZ$207,36,FALSE)</f>
        <v>0</v>
      </c>
      <c r="AW52" s="976">
        <f>VLOOKUP($M$52,$M$57:$ZZ$207,37,FALSE)</f>
        <v>0</v>
      </c>
      <c r="AX52" s="976">
        <f>VLOOKUP($M$52,$M$57:$ZZ$207,38,FALSE)</f>
        <v>0</v>
      </c>
      <c r="AY52" s="976">
        <f>VLOOKUP($M$52,$M$57:$ZZ$207,39,FALSE)</f>
        <v>0</v>
      </c>
      <c r="AZ52" s="976">
        <f>VLOOKUP($M$52,$M$57:$ZZ$207,40,FALSE)</f>
        <v>0</v>
      </c>
      <c r="BA52" s="976">
        <f>VLOOKUP($M$52,$M$57:$ZZ$207,41,FALSE)</f>
        <v>0</v>
      </c>
      <c r="BB52" s="976">
        <f>VLOOKUP($M$52,$M$57:$ZZ$207,42,FALSE)</f>
        <v>0</v>
      </c>
      <c r="BC52" s="976">
        <f>VLOOKUP($M$52,$M$57:$ZZ$207,43,FALSE)</f>
        <v>0</v>
      </c>
      <c r="BD52" s="976">
        <f>VLOOKUP($M$52,$M$57:$ZZ$207,44,FALSE)</f>
        <v>0</v>
      </c>
      <c r="BE52" s="976">
        <f>VLOOKUP($M$52,$M$57:$ZZ$207,45,FALSE)</f>
        <v>0</v>
      </c>
      <c r="BF52" s="976">
        <f>VLOOKUP($M$52,$M$57:$ZZ$207,46,FALSE)</f>
        <v>0</v>
      </c>
      <c r="BG52" s="976">
        <f>VLOOKUP($M$52,$M$57:$ZZ$207,47,FALSE)</f>
        <v>0</v>
      </c>
      <c r="BH52" s="976">
        <f>VLOOKUP($M$52,$M$57:$ZZ$207,48,FALSE)</f>
        <v>0</v>
      </c>
      <c r="BI52" s="976">
        <f>VLOOKUP($M$52,$M$57:$ZZ$207,49,FALSE)</f>
        <v>0</v>
      </c>
      <c r="BJ52" s="976">
        <f>VLOOKUP($M$52,$M$57:$ZZ$207,50,FALSE)</f>
        <v>0</v>
      </c>
      <c r="BK52" s="976">
        <f>VLOOKUP($M$52,$M$57:$ZZ$207,51,FALSE)</f>
        <v>0</v>
      </c>
      <c r="BL52" s="976">
        <f>VLOOKUP($M$52,$M$57:$ZZ$207,52,FALSE)</f>
        <v>0</v>
      </c>
      <c r="BM52" s="976">
        <f>VLOOKUP($M$52,$M$57:$ZZ$207,53,FALSE)</f>
        <v>0</v>
      </c>
      <c r="BN52" s="976">
        <f>VLOOKUP($M$52,$M$57:$ZZ$207,54,FALSE)</f>
        <v>0</v>
      </c>
      <c r="BO52" s="976">
        <f>VLOOKUP($M$52,$M$57:$ZZ$207,55,FALSE)</f>
        <v>0</v>
      </c>
      <c r="BP52" s="976">
        <f>VLOOKUP($M$52,$M$57:$ZZ$207,56,FALSE)</f>
        <v>0</v>
      </c>
      <c r="BQ52" s="976">
        <f>BQ56</f>
        <v>0</v>
      </c>
      <c r="BR52" s="976">
        <f>BR56</f>
        <v>0</v>
      </c>
      <c r="BS52" s="976">
        <f>VLOOKUP($M$52,$M$57:$ZZ$207,59,FALSE)</f>
        <v>0</v>
      </c>
      <c r="BT52" s="976">
        <f>VLOOKUP($M$52,$M$57:$ZZ$207,60,FALSE)</f>
        <v>0</v>
      </c>
      <c r="BU52" s="976">
        <f>VLOOKUP($M$52,$M$57:$ZZ$207,61,FALSE)</f>
        <v>0</v>
      </c>
      <c r="BV52" s="976">
        <f>VLOOKUP($M$52,$M$57:$ZZ$207,62,FALSE)</f>
        <v>0</v>
      </c>
      <c r="BW52" s="976">
        <f>VLOOKUP($M$52,$M$57:$ZZ$207,63,FALSE)</f>
        <v>0</v>
      </c>
      <c r="BX52" s="976">
        <f>VLOOKUP($M$52,$M$57:$ZZ$207,64,FALSE)</f>
        <v>0</v>
      </c>
      <c r="BY52" s="976">
        <f>VLOOKUP($M$52,$M$57:$ZZ$207,65,FALSE)</f>
        <v>0</v>
      </c>
      <c r="BZ52" s="976">
        <f>VLOOKUP($M$52,$M$57:$ZZ$207,66,FALSE)</f>
        <v>0</v>
      </c>
      <c r="CA52" s="976">
        <f>VLOOKUP($M$52,$M$57:$ZZ$207,67,FALSE)</f>
        <v>0</v>
      </c>
      <c r="CB52" s="976">
        <f>VLOOKUP($M$52,$M$57:$ZZ$207,68,FALSE)</f>
        <v>0</v>
      </c>
      <c r="CC52" s="976">
        <f>VLOOKUP($M$52,$M$57:$ZZ$207,69,FALSE)</f>
        <v>0</v>
      </c>
      <c r="CD52" s="976">
        <f>VLOOKUP($M$52,$M$57:$ZZ$207,70,FALSE)</f>
        <v>0</v>
      </c>
      <c r="CE52" s="976">
        <f>VLOOKUP($M$52,$M$57:$ZZ$207,71,FALSE)</f>
        <v>0</v>
      </c>
      <c r="CF52" s="976">
        <f>VLOOKUP($M$52,$M$57:$ZZ$207,72,FALSE)</f>
        <v>0</v>
      </c>
      <c r="CG52" s="976">
        <f>VLOOKUP($M$52,$M$57:$ZZ$207,73,FALSE)</f>
        <v>0</v>
      </c>
      <c r="CH52" s="976">
        <f>VLOOKUP($M$52,$M$57:$ZZ$207,74,FALSE)</f>
        <v>0</v>
      </c>
      <c r="CI52" s="976">
        <f>VLOOKUP($M$52,$M$57:$ZZ$207,75,FALSE)</f>
        <v>0</v>
      </c>
      <c r="CJ52" s="976">
        <f>VLOOKUP($M$52,$M$57:$ZZ$207,76,FALSE)</f>
        <v>0</v>
      </c>
      <c r="CK52" s="976">
        <f>VLOOKUP($M$52,$M$57:$ZZ$207,77,FALSE)</f>
        <v>0</v>
      </c>
      <c r="CL52" s="976">
        <f>VLOOKUP($M$52,$M$57:$ZZ$207,78,FALSE)</f>
        <v>0</v>
      </c>
      <c r="CM52" s="976"/>
      <c r="CN52" s="976"/>
      <c r="CO52" s="976"/>
      <c r="CP52" s="976"/>
      <c r="CQ52" s="976"/>
      <c r="CR52" s="976"/>
      <c r="CS52" s="976"/>
      <c r="CT52" s="976"/>
      <c r="CU52" s="976"/>
      <c r="CV52" s="976"/>
      <c r="CW52" s="976"/>
      <c r="CX52" s="976"/>
      <c r="CY52" s="976"/>
      <c r="CZ52" s="976"/>
      <c r="DA52" s="976"/>
      <c r="DB52" s="976"/>
      <c r="DC52" s="976"/>
      <c r="DD52" s="976"/>
      <c r="DE52" s="976"/>
      <c r="DF52" s="976"/>
      <c r="DG52" s="976"/>
      <c r="DH52" s="976"/>
      <c r="DI52" s="976"/>
      <c r="DJ52" s="976"/>
      <c r="DK52" s="976"/>
      <c r="DL52" s="976"/>
      <c r="DM52" s="976"/>
      <c r="DN52" s="976"/>
      <c r="DO52" s="976"/>
      <c r="DP52" s="976"/>
      <c r="DQ52" s="976"/>
      <c r="DR52" s="976"/>
      <c r="DS52" s="976"/>
      <c r="DT52" s="976"/>
      <c r="DU52" s="976"/>
      <c r="DV52" s="976"/>
      <c r="DW52" s="976"/>
      <c r="DX52" s="976"/>
      <c r="DY52" s="976"/>
      <c r="DZ52" s="976"/>
      <c r="EA52" s="976"/>
      <c r="EB52" s="976"/>
      <c r="EC52" s="976"/>
      <c r="ED52" s="976"/>
      <c r="EE52" s="976"/>
      <c r="EF52" s="976"/>
      <c r="EG52" s="976"/>
      <c r="EH52" s="976"/>
      <c r="EI52" s="976"/>
      <c r="EJ52" s="976"/>
      <c r="EK52" s="976"/>
      <c r="EL52" s="976"/>
      <c r="EM52" s="976"/>
      <c r="EN52" s="976"/>
      <c r="EO52" s="976"/>
      <c r="EP52" s="976"/>
      <c r="EQ52" s="976"/>
      <c r="ER52" s="976"/>
      <c r="ES52" s="976"/>
      <c r="ET52" s="976"/>
      <c r="EU52" s="976"/>
      <c r="EV52" s="976"/>
      <c r="EW52" s="976"/>
      <c r="EX52" s="976"/>
      <c r="EY52" s="976"/>
      <c r="EZ52" s="976"/>
      <c r="FA52" s="976"/>
      <c r="FB52" s="976"/>
      <c r="FC52" s="976"/>
      <c r="FD52" s="976"/>
      <c r="FE52" s="976"/>
      <c r="FF52" s="976"/>
      <c r="FG52" s="976"/>
      <c r="FH52" s="976"/>
      <c r="FI52" s="976"/>
      <c r="FJ52" s="976"/>
      <c r="FK52" s="976"/>
      <c r="FL52" s="976"/>
      <c r="FM52" s="976"/>
      <c r="FN52" s="976"/>
      <c r="FO52" s="976"/>
      <c r="FP52" s="976"/>
      <c r="FQ52" s="976"/>
      <c r="FR52" s="976"/>
      <c r="FS52" s="976"/>
      <c r="FT52" s="976"/>
      <c r="FU52" s="976"/>
      <c r="FV52" s="976"/>
      <c r="FW52" s="976"/>
      <c r="FX52" s="976"/>
      <c r="FY52" s="976"/>
      <c r="FZ52" s="976"/>
      <c r="GA52" s="976"/>
      <c r="GB52" s="976"/>
      <c r="GC52" s="976"/>
      <c r="GD52" s="976"/>
      <c r="GG52" s="976"/>
      <c r="GH52" s="976"/>
      <c r="GI52" s="976"/>
      <c r="GJ52" s="976"/>
      <c r="GK52" s="976"/>
      <c r="GL52" s="976"/>
      <c r="GM52" s="976"/>
      <c r="GP52" s="976"/>
      <c r="GQ52" s="976"/>
      <c r="GR52" s="976"/>
      <c r="GS52" s="976"/>
      <c r="GT52" s="976"/>
      <c r="GU52" s="976"/>
      <c r="GV52" s="976"/>
      <c r="GW52" s="976"/>
      <c r="GX52" s="976"/>
      <c r="GY52" s="976"/>
      <c r="GZ52" s="976"/>
      <c r="HA52" s="976"/>
      <c r="HB52" s="976"/>
      <c r="HC52" s="976"/>
      <c r="HD52" s="976"/>
      <c r="HE52" s="976"/>
      <c r="HF52" s="976"/>
      <c r="HG52" s="976"/>
      <c r="HH52" s="976"/>
      <c r="HI52" s="976"/>
      <c r="HJ52" s="976"/>
      <c r="HK52" s="976"/>
      <c r="HL52" s="976"/>
      <c r="HM52" s="976"/>
      <c r="HN52" s="976"/>
      <c r="HO52" s="976"/>
      <c r="HP52" s="976"/>
      <c r="HQ52" s="976"/>
      <c r="HR52" s="976"/>
      <c r="HS52" s="976"/>
      <c r="HT52" s="976"/>
      <c r="HU52" s="976"/>
      <c r="HV52" s="976"/>
      <c r="HW52" s="976"/>
      <c r="HX52" s="976"/>
      <c r="HY52" s="976"/>
      <c r="HZ52" s="976"/>
      <c r="IA52" s="976"/>
      <c r="IB52" s="976"/>
      <c r="IC52" s="976"/>
      <c r="ID52" s="976"/>
      <c r="IE52" s="976"/>
      <c r="IF52" s="976"/>
      <c r="IG52" s="976"/>
      <c r="IH52" s="976"/>
      <c r="II52" s="976"/>
      <c r="IJ52" s="976"/>
      <c r="IK52" s="976"/>
      <c r="IL52" s="976"/>
      <c r="IM52" s="976"/>
      <c r="IN52" s="976"/>
      <c r="IO52" s="976"/>
      <c r="IP52" s="976"/>
      <c r="IQ52" s="976"/>
      <c r="IR52" s="976"/>
      <c r="IS52" s="976"/>
      <c r="IT52" s="976"/>
      <c r="IU52" s="976"/>
      <c r="IV52" s="976"/>
      <c r="IW52" s="976"/>
      <c r="IX52" s="976"/>
      <c r="IY52" s="976"/>
      <c r="IZ52" s="976"/>
      <c r="JA52" s="976"/>
      <c r="JB52" s="976"/>
      <c r="JC52" s="976"/>
      <c r="JD52" s="976"/>
      <c r="JE52" s="976"/>
      <c r="JF52" s="976"/>
      <c r="JG52" s="976"/>
      <c r="JH52" s="976"/>
      <c r="JI52" s="976"/>
      <c r="JJ52" s="976"/>
      <c r="JK52" s="976"/>
      <c r="JL52" s="976"/>
      <c r="JM52" s="976"/>
      <c r="JN52" s="976"/>
      <c r="JO52" s="976"/>
      <c r="JP52" s="976"/>
      <c r="JQ52" s="976"/>
      <c r="JR52" s="976"/>
      <c r="JS52" s="976"/>
    </row>
    <row r="53" spans="1:279">
      <c r="A53" s="965" t="e">
        <f>A52+30</f>
        <v>#VALUE!</v>
      </c>
      <c r="C53" s="971" t="e">
        <f t="shared" si="9"/>
        <v>#VALUE!</v>
      </c>
      <c r="D53" s="968" t="e">
        <f t="shared" si="10"/>
        <v>#VALUE!</v>
      </c>
      <c r="E53" s="963" t="e">
        <f t="shared" si="11"/>
        <v>#VALUE!</v>
      </c>
      <c r="F53" s="963" t="e">
        <f t="shared" si="12"/>
        <v>#VALUE!</v>
      </c>
      <c r="G53" s="965" t="e">
        <f t="shared" si="13"/>
        <v>#VALUE!</v>
      </c>
      <c r="H53" s="965" t="e">
        <f t="shared" si="14"/>
        <v>#VALUE!</v>
      </c>
      <c r="L53" s="972" t="s">
        <v>392</v>
      </c>
      <c r="M53" s="987">
        <f>'F1  Cover'!K8</f>
        <v>1</v>
      </c>
      <c r="N53" s="985">
        <f>'F1  Cover'!L8</f>
        <v>46053</v>
      </c>
      <c r="O53" s="913">
        <f>'F1  Cover'!K32</f>
        <v>0</v>
      </c>
      <c r="P53" s="913">
        <f>'F1  Cover'!K38</f>
        <v>0</v>
      </c>
      <c r="Q53" s="913">
        <f>'Pg 1 Payment'!H24</f>
        <v>0</v>
      </c>
      <c r="R53" s="913">
        <f>'Pg 1 Payment'!J24</f>
        <v>0</v>
      </c>
      <c r="S53" s="988">
        <f>'Pg 2 Sum Scheduled'!H25</f>
        <v>0</v>
      </c>
      <c r="T53" s="988" t="e">
        <f>'Pg 2 Sum Scheduled'!I25</f>
        <v>#REF!</v>
      </c>
      <c r="U53" s="989">
        <f>'3200'!H9</f>
        <v>0</v>
      </c>
      <c r="V53" s="989">
        <f>'3200'!H10</f>
        <v>0</v>
      </c>
      <c r="W53" s="989">
        <f>'3200'!H11</f>
        <v>0</v>
      </c>
      <c r="X53" s="989">
        <f>'3200'!H12</f>
        <v>0</v>
      </c>
      <c r="Y53" s="989">
        <f>'3300'!H9</f>
        <v>0</v>
      </c>
      <c r="Z53" s="989">
        <f>'3300'!H10</f>
        <v>0</v>
      </c>
      <c r="AA53" s="989">
        <f>'3400'!H9</f>
        <v>0</v>
      </c>
      <c r="AB53" s="989">
        <f>'3400'!H10</f>
        <v>0</v>
      </c>
      <c r="AC53" s="989">
        <f>'3400'!H13</f>
        <v>0</v>
      </c>
      <c r="AD53" s="989">
        <f>'3400'!H14</f>
        <v>0</v>
      </c>
      <c r="AE53" s="989">
        <f>'3400'!H115</f>
        <v>0</v>
      </c>
      <c r="AF53" s="989">
        <f>'3500'!H9</f>
        <v>0</v>
      </c>
      <c r="AG53" s="989">
        <f>'3500'!H11</f>
        <v>0</v>
      </c>
      <c r="AH53" s="989">
        <f>'3500'!H13</f>
        <v>0</v>
      </c>
      <c r="AI53" s="989">
        <f>'3500'!H14</f>
        <v>0</v>
      </c>
      <c r="AJ53" s="989">
        <f>'3500'!H17</f>
        <v>0</v>
      </c>
      <c r="AK53" s="989" t="e">
        <f>'3500'!#REF!</f>
        <v>#REF!</v>
      </c>
      <c r="AL53" s="989" t="e">
        <f>'3500'!#REF!</f>
        <v>#REF!</v>
      </c>
      <c r="AM53" s="989">
        <f>'3500'!H18</f>
        <v>0</v>
      </c>
      <c r="AN53" s="989">
        <f>'3500'!H20</f>
        <v>0</v>
      </c>
      <c r="AO53" s="989">
        <f>'3500'!H22</f>
        <v>0</v>
      </c>
      <c r="AP53" s="989">
        <f>'3500'!H24</f>
        <v>0</v>
      </c>
      <c r="AQ53" s="989">
        <f>'3500'!H26</f>
        <v>0</v>
      </c>
      <c r="AR53" s="989">
        <f>'3500'!H28</f>
        <v>0</v>
      </c>
      <c r="AS53" s="989">
        <f>'3500'!H30</f>
        <v>0</v>
      </c>
      <c r="AT53" s="989">
        <f>'3500'!H31</f>
        <v>0</v>
      </c>
      <c r="AU53" s="989">
        <f>'3500'!H34</f>
        <v>0</v>
      </c>
      <c r="AV53" s="989">
        <f>'3500'!H36</f>
        <v>0</v>
      </c>
      <c r="AW53" s="989">
        <f>'3500'!H38</f>
        <v>0</v>
      </c>
      <c r="AX53" s="989">
        <f>'3500'!H39</f>
        <v>0</v>
      </c>
      <c r="AY53" s="989">
        <f>'3500'!H40</f>
        <v>0</v>
      </c>
      <c r="AZ53" s="989">
        <f>'3500'!H41</f>
        <v>0</v>
      </c>
      <c r="BA53" s="989">
        <f>'3600'!H9</f>
        <v>0</v>
      </c>
      <c r="BB53" s="989">
        <f>'3600'!H10</f>
        <v>0</v>
      </c>
      <c r="BC53" s="989">
        <f>'3600'!H11</f>
        <v>0</v>
      </c>
      <c r="BD53" s="989">
        <f>'3600'!H12</f>
        <v>0</v>
      </c>
      <c r="BE53" s="989">
        <f>'3600'!H14</f>
        <v>0</v>
      </c>
      <c r="BF53" s="989">
        <f>'3600'!H16</f>
        <v>0</v>
      </c>
      <c r="BG53" s="989">
        <f>'3600'!H19</f>
        <v>0</v>
      </c>
      <c r="BH53" s="989">
        <f>'3600'!H21</f>
        <v>0</v>
      </c>
      <c r="BI53" s="989">
        <f>'3600'!H23</f>
        <v>0</v>
      </c>
      <c r="BJ53" s="989">
        <f>'3600'!H24</f>
        <v>0</v>
      </c>
      <c r="BK53" s="989">
        <f>'3600'!H25</f>
        <v>0</v>
      </c>
      <c r="BL53" s="989">
        <f>'3600'!H27</f>
        <v>0</v>
      </c>
      <c r="BM53" s="989">
        <f>'3600'!H30</f>
        <v>0</v>
      </c>
      <c r="BN53" s="989">
        <f>'3600'!H31</f>
        <v>0</v>
      </c>
      <c r="BO53" s="989">
        <f>'3600'!H32</f>
        <v>0</v>
      </c>
      <c r="BP53" s="989">
        <f>'3700'!H9</f>
        <v>0</v>
      </c>
      <c r="BQ53" s="989">
        <f>'F1  Cover'!K34</f>
        <v>0</v>
      </c>
      <c r="BR53" s="989">
        <f>'F1  Cover'!K36</f>
        <v>0</v>
      </c>
      <c r="BS53" s="989">
        <f>'3500'!H10</f>
        <v>0</v>
      </c>
      <c r="BT53" s="989">
        <f>'3500'!H44</f>
        <v>0</v>
      </c>
      <c r="BU53" s="989">
        <f>'3500'!H45</f>
        <v>0</v>
      </c>
      <c r="BV53" s="989">
        <f>'3500'!H46</f>
        <v>0</v>
      </c>
      <c r="BW53" s="989">
        <f>'3500'!H47</f>
        <v>0</v>
      </c>
      <c r="BX53" s="989">
        <f>'3500'!H48</f>
        <v>0</v>
      </c>
      <c r="BY53" s="989">
        <f>'3500'!H49</f>
        <v>0</v>
      </c>
      <c r="BZ53" s="989">
        <f>'3500'!H50</f>
        <v>0</v>
      </c>
      <c r="CA53" s="989">
        <f>'3500'!H51</f>
        <v>0</v>
      </c>
      <c r="CB53" s="989">
        <f>'3600'!H13</f>
        <v>0</v>
      </c>
      <c r="CC53" s="989">
        <f>'3800'!H13</f>
        <v>0</v>
      </c>
      <c r="CD53" s="989">
        <f>'3200'!H14</f>
        <v>0</v>
      </c>
      <c r="CE53" s="989">
        <f>'3200'!H15</f>
        <v>0</v>
      </c>
      <c r="CF53" s="989">
        <f>'3200'!H17</f>
        <v>0</v>
      </c>
      <c r="CG53" s="989">
        <f>'3200'!H18</f>
        <v>0</v>
      </c>
      <c r="CH53" s="989">
        <f>'3200'!H20</f>
        <v>0</v>
      </c>
      <c r="CI53" s="989">
        <f>'3200'!H21</f>
        <v>0</v>
      </c>
      <c r="CJ53" s="989">
        <f>'3200'!H22</f>
        <v>0</v>
      </c>
      <c r="CK53" s="989">
        <f>'3200'!H24</f>
        <v>0</v>
      </c>
      <c r="CL53" s="989">
        <f>'3200'!H25</f>
        <v>0</v>
      </c>
      <c r="CM53" s="989"/>
      <c r="CN53" s="989"/>
      <c r="CO53" s="989"/>
      <c r="CP53" s="989"/>
      <c r="CQ53" s="989"/>
      <c r="CR53" s="989"/>
      <c r="CS53" s="989"/>
      <c r="CT53" s="989"/>
      <c r="CU53" s="989"/>
      <c r="CV53" s="989"/>
      <c r="CW53" s="989"/>
      <c r="CX53" s="989"/>
      <c r="CY53" s="989"/>
      <c r="CZ53" s="989"/>
      <c r="DA53" s="989"/>
      <c r="DB53" s="989"/>
      <c r="DC53" s="989"/>
      <c r="DD53" s="989"/>
      <c r="DE53" s="989"/>
      <c r="DF53" s="989"/>
      <c r="DG53" s="989"/>
      <c r="DH53" s="989"/>
      <c r="DI53" s="989"/>
      <c r="DJ53" s="989"/>
      <c r="DK53" s="989"/>
      <c r="DL53" s="989"/>
      <c r="DM53" s="989"/>
      <c r="DN53" s="989"/>
      <c r="DO53" s="989"/>
      <c r="DP53" s="989"/>
      <c r="DQ53" s="989"/>
      <c r="DR53" s="989"/>
      <c r="DS53" s="989"/>
      <c r="DT53" s="989"/>
      <c r="DU53" s="989"/>
      <c r="DV53" s="989"/>
      <c r="DW53" s="989"/>
      <c r="DX53" s="989"/>
      <c r="DY53" s="989"/>
      <c r="DZ53" s="989"/>
      <c r="EA53" s="989"/>
      <c r="EB53" s="989"/>
      <c r="EC53" s="989"/>
      <c r="ED53" s="989"/>
      <c r="EE53" s="989"/>
      <c r="EF53" s="989"/>
      <c r="EG53" s="989"/>
      <c r="EH53" s="989"/>
      <c r="EI53" s="989"/>
      <c r="EJ53" s="989"/>
      <c r="EK53" s="989"/>
      <c r="EL53" s="989"/>
      <c r="EM53" s="989"/>
      <c r="EN53" s="989"/>
      <c r="EO53" s="989"/>
      <c r="EP53" s="989"/>
      <c r="EQ53" s="989"/>
      <c r="ER53" s="989"/>
      <c r="ES53" s="989"/>
      <c r="ET53" s="989"/>
      <c r="EU53" s="989"/>
      <c r="EV53" s="989"/>
      <c r="EW53" s="989"/>
      <c r="EX53" s="989"/>
      <c r="EY53" s="989"/>
      <c r="EZ53" s="989"/>
      <c r="FA53" s="989"/>
      <c r="FB53" s="989"/>
      <c r="FC53" s="989"/>
      <c r="FD53" s="989"/>
      <c r="FE53" s="989"/>
      <c r="FF53" s="989"/>
      <c r="FG53" s="989"/>
      <c r="FH53" s="989"/>
      <c r="FI53" s="989"/>
      <c r="FJ53" s="989"/>
      <c r="FK53" s="989"/>
      <c r="FL53" s="989"/>
      <c r="FM53" s="989"/>
      <c r="FN53" s="989"/>
      <c r="FO53" s="989"/>
      <c r="FP53" s="989"/>
      <c r="FQ53" s="989"/>
      <c r="FR53" s="989"/>
      <c r="FS53" s="989"/>
      <c r="FT53" s="989"/>
      <c r="FU53" s="989"/>
      <c r="FV53" s="989"/>
      <c r="FW53" s="989"/>
      <c r="FX53" s="989"/>
      <c r="FY53" s="989"/>
      <c r="FZ53" s="989"/>
      <c r="GA53" s="989"/>
      <c r="GB53" s="989"/>
      <c r="GC53" s="989"/>
      <c r="GD53" s="989"/>
      <c r="GG53" s="989"/>
      <c r="GH53" s="989"/>
      <c r="GI53" s="989"/>
      <c r="GJ53" s="989"/>
      <c r="GK53" s="989"/>
      <c r="GL53" s="989"/>
      <c r="GM53" s="989"/>
      <c r="GP53" s="989"/>
      <c r="GQ53" s="989"/>
      <c r="GR53" s="989"/>
      <c r="GS53" s="989"/>
      <c r="GT53" s="989"/>
      <c r="GU53" s="989"/>
      <c r="GV53" s="989"/>
      <c r="GW53" s="989"/>
      <c r="GX53" s="989"/>
      <c r="GY53" s="989"/>
      <c r="GZ53" s="989"/>
      <c r="HA53" s="989"/>
      <c r="HB53" s="989"/>
      <c r="HC53" s="989"/>
      <c r="HD53" s="989"/>
      <c r="HE53" s="989"/>
      <c r="HF53" s="989"/>
      <c r="HG53" s="989"/>
      <c r="HH53" s="989"/>
      <c r="HI53" s="989"/>
      <c r="HJ53" s="989"/>
      <c r="HK53" s="989"/>
      <c r="HL53" s="989"/>
      <c r="HM53" s="989"/>
      <c r="HN53" s="989"/>
      <c r="HO53" s="989"/>
      <c r="HP53" s="989"/>
      <c r="HQ53" s="989"/>
      <c r="HR53" s="989"/>
      <c r="HS53" s="989"/>
      <c r="HT53" s="989"/>
      <c r="HU53" s="989"/>
      <c r="HV53" s="989"/>
      <c r="HW53" s="989"/>
      <c r="HX53" s="989"/>
      <c r="HY53" s="989"/>
      <c r="HZ53" s="989"/>
      <c r="IA53" s="989"/>
      <c r="IB53" s="989"/>
      <c r="IC53" s="989"/>
      <c r="ID53" s="989"/>
      <c r="IE53" s="989"/>
      <c r="IF53" s="989"/>
      <c r="IG53" s="989"/>
      <c r="IH53" s="989"/>
      <c r="II53" s="989"/>
      <c r="IJ53" s="989"/>
      <c r="IK53" s="989"/>
      <c r="IL53" s="989"/>
      <c r="IM53" s="989"/>
      <c r="IN53" s="989"/>
      <c r="IO53" s="989"/>
      <c r="IP53" s="989"/>
      <c r="IQ53" s="989"/>
      <c r="IR53" s="989"/>
      <c r="IS53" s="989"/>
      <c r="IT53" s="989"/>
      <c r="IU53" s="989"/>
      <c r="IV53" s="989"/>
      <c r="IW53" s="989"/>
      <c r="IX53" s="989"/>
      <c r="IY53" s="989"/>
      <c r="IZ53" s="989"/>
      <c r="JA53" s="989"/>
      <c r="JB53" s="989"/>
      <c r="JC53" s="989"/>
      <c r="JD53" s="989"/>
      <c r="JE53" s="989"/>
      <c r="JF53" s="989"/>
      <c r="JG53" s="989"/>
      <c r="JH53" s="989"/>
      <c r="JI53" s="989"/>
      <c r="JJ53" s="989"/>
      <c r="JK53" s="989"/>
      <c r="JL53" s="989"/>
      <c r="JM53" s="989"/>
      <c r="JN53" s="989"/>
      <c r="JO53" s="989"/>
      <c r="JP53" s="989"/>
      <c r="JQ53" s="989"/>
      <c r="JR53" s="989"/>
      <c r="JS53" s="989"/>
    </row>
    <row r="54" spans="1:279">
      <c r="A54" s="965" t="e">
        <f>A53+31</f>
        <v>#VALUE!</v>
      </c>
      <c r="C54" s="971" t="e">
        <f t="shared" si="9"/>
        <v>#VALUE!</v>
      </c>
      <c r="D54" s="968" t="e">
        <f t="shared" si="10"/>
        <v>#VALUE!</v>
      </c>
      <c r="E54" s="963" t="e">
        <f t="shared" si="11"/>
        <v>#VALUE!</v>
      </c>
      <c r="F54" s="963" t="e">
        <f t="shared" si="12"/>
        <v>#VALUE!</v>
      </c>
      <c r="G54" s="965" t="e">
        <f t="shared" si="13"/>
        <v>#VALUE!</v>
      </c>
      <c r="H54" s="965" t="e">
        <f t="shared" si="14"/>
        <v>#VALUE!</v>
      </c>
      <c r="L54" s="972" t="s">
        <v>399</v>
      </c>
      <c r="M54" s="987">
        <f>M53+1</f>
        <v>2</v>
      </c>
    </row>
    <row r="55" spans="1:279">
      <c r="A55" s="965" t="e">
        <f>A54+30</f>
        <v>#VALUE!</v>
      </c>
      <c r="C55" s="971" t="e">
        <f t="shared" si="9"/>
        <v>#VALUE!</v>
      </c>
      <c r="D55" s="968" t="e">
        <f t="shared" si="10"/>
        <v>#VALUE!</v>
      </c>
      <c r="E55" s="963" t="e">
        <f t="shared" si="11"/>
        <v>#VALUE!</v>
      </c>
      <c r="F55" s="963" t="e">
        <f t="shared" si="12"/>
        <v>#VALUE!</v>
      </c>
      <c r="G55" s="965" t="e">
        <f t="shared" si="13"/>
        <v>#VALUE!</v>
      </c>
      <c r="H55" s="965" t="e">
        <f t="shared" si="14"/>
        <v>#VALUE!</v>
      </c>
    </row>
    <row r="56" spans="1:279">
      <c r="A56" s="965" t="e">
        <f>A55+31</f>
        <v>#VALUE!</v>
      </c>
      <c r="C56" s="971" t="e">
        <f t="shared" si="9"/>
        <v>#VALUE!</v>
      </c>
      <c r="D56" s="968" t="e">
        <f t="shared" si="10"/>
        <v>#VALUE!</v>
      </c>
      <c r="E56" s="963" t="e">
        <f t="shared" si="11"/>
        <v>#VALUE!</v>
      </c>
      <c r="F56" s="963" t="e">
        <f t="shared" si="12"/>
        <v>#VALUE!</v>
      </c>
      <c r="G56" s="965" t="e">
        <f t="shared" si="13"/>
        <v>#VALUE!</v>
      </c>
      <c r="H56" s="965" t="e">
        <f t="shared" si="14"/>
        <v>#VALUE!</v>
      </c>
      <c r="M56" s="963" t="s">
        <v>393</v>
      </c>
      <c r="N56" s="963" t="s">
        <v>132</v>
      </c>
      <c r="O56" s="986">
        <f>SUM(O57:O207)</f>
        <v>0</v>
      </c>
      <c r="P56" s="986">
        <f>SUM(P57:P207)</f>
        <v>0</v>
      </c>
      <c r="BQ56" s="986">
        <f>SUM(BQ57:BQ207)</f>
        <v>0</v>
      </c>
      <c r="BR56" s="986">
        <f>SUM(BR57:BR207)</f>
        <v>0</v>
      </c>
    </row>
    <row r="57" spans="1:279">
      <c r="A57" s="965" t="e">
        <f>A56+31</f>
        <v>#VALUE!</v>
      </c>
      <c r="B57" s="963" t="b">
        <f>ISNA(VLOOKUP(A57,$E$4:$E$13,1,FALSE))</f>
        <v>0</v>
      </c>
      <c r="C57" s="971" t="e">
        <f t="shared" si="9"/>
        <v>#VALUE!</v>
      </c>
      <c r="D57" s="968" t="e">
        <f t="shared" si="10"/>
        <v>#VALUE!</v>
      </c>
      <c r="E57" s="963" t="e">
        <f t="shared" si="11"/>
        <v>#VALUE!</v>
      </c>
      <c r="F57" s="963" t="e">
        <f t="shared" si="12"/>
        <v>#VALUE!</v>
      </c>
      <c r="G57" s="965" t="e">
        <f t="shared" si="13"/>
        <v>#VALUE!</v>
      </c>
      <c r="H57" s="965" t="e">
        <f t="shared" si="14"/>
        <v>#VALUE!</v>
      </c>
      <c r="M57" s="968">
        <v>0</v>
      </c>
      <c r="N57" s="985" t="str">
        <f>A15</f>
        <v>30/09/2026</v>
      </c>
      <c r="O57" s="986">
        <v>0</v>
      </c>
      <c r="P57" s="986">
        <v>0</v>
      </c>
      <c r="Q57" s="986">
        <v>0</v>
      </c>
      <c r="R57" s="986">
        <v>0</v>
      </c>
      <c r="S57" s="986">
        <v>0</v>
      </c>
      <c r="T57" s="986">
        <v>0</v>
      </c>
      <c r="U57" s="976">
        <v>0</v>
      </c>
      <c r="V57" s="976">
        <v>0</v>
      </c>
      <c r="W57" s="976">
        <v>0</v>
      </c>
      <c r="X57" s="976">
        <v>0</v>
      </c>
      <c r="Y57" s="976">
        <v>0</v>
      </c>
      <c r="Z57" s="976">
        <v>0</v>
      </c>
      <c r="AA57" s="976">
        <v>0</v>
      </c>
      <c r="AB57" s="976">
        <v>0</v>
      </c>
      <c r="AC57" s="976">
        <v>0</v>
      </c>
      <c r="AD57" s="976">
        <v>0</v>
      </c>
      <c r="AE57" s="976">
        <v>0</v>
      </c>
      <c r="AF57" s="976">
        <v>0</v>
      </c>
      <c r="AG57" s="976">
        <v>0</v>
      </c>
      <c r="AH57" s="976">
        <v>0</v>
      </c>
      <c r="AI57" s="976">
        <v>0</v>
      </c>
      <c r="AJ57" s="976">
        <v>0</v>
      </c>
      <c r="AK57" s="976">
        <v>0</v>
      </c>
      <c r="AL57" s="976">
        <v>0</v>
      </c>
      <c r="AM57" s="976">
        <v>0</v>
      </c>
      <c r="AN57" s="976">
        <v>0</v>
      </c>
      <c r="AO57" s="976">
        <v>0</v>
      </c>
      <c r="AP57" s="976">
        <v>0</v>
      </c>
      <c r="AQ57" s="976">
        <v>0</v>
      </c>
      <c r="AR57" s="976">
        <v>0</v>
      </c>
      <c r="AS57" s="976">
        <v>0</v>
      </c>
      <c r="AT57" s="976">
        <v>0</v>
      </c>
      <c r="AU57" s="976">
        <v>0</v>
      </c>
      <c r="AV57" s="976">
        <v>0</v>
      </c>
      <c r="AW57" s="976">
        <v>0</v>
      </c>
      <c r="AX57" s="976">
        <v>0</v>
      </c>
      <c r="AY57" s="976">
        <v>0</v>
      </c>
      <c r="AZ57" s="976">
        <v>0</v>
      </c>
      <c r="BA57" s="976">
        <v>0</v>
      </c>
      <c r="BB57" s="976">
        <v>0</v>
      </c>
      <c r="BC57" s="976">
        <v>0</v>
      </c>
      <c r="BD57" s="976">
        <v>0</v>
      </c>
      <c r="BE57" s="976">
        <v>0</v>
      </c>
      <c r="BF57" s="976">
        <v>0</v>
      </c>
      <c r="BG57" s="976">
        <v>0</v>
      </c>
      <c r="BH57" s="976">
        <v>0</v>
      </c>
      <c r="BI57" s="976">
        <v>0</v>
      </c>
      <c r="BJ57" s="976">
        <v>0</v>
      </c>
      <c r="BK57" s="976">
        <v>0</v>
      </c>
      <c r="BL57" s="976">
        <v>0</v>
      </c>
      <c r="BM57" s="976">
        <v>0</v>
      </c>
      <c r="BN57" s="976">
        <v>0</v>
      </c>
      <c r="BO57" s="976">
        <v>0</v>
      </c>
      <c r="BP57" s="976">
        <v>0</v>
      </c>
      <c r="BQ57" s="976">
        <v>0</v>
      </c>
      <c r="BR57" s="976">
        <v>0</v>
      </c>
      <c r="BS57" s="976">
        <v>0</v>
      </c>
      <c r="BT57" s="976">
        <v>0</v>
      </c>
      <c r="BU57" s="976">
        <v>0</v>
      </c>
      <c r="BV57" s="976">
        <v>0</v>
      </c>
      <c r="BW57" s="976">
        <v>0</v>
      </c>
      <c r="BX57" s="976">
        <v>0</v>
      </c>
      <c r="BY57" s="976">
        <v>0</v>
      </c>
      <c r="BZ57" s="976">
        <v>0</v>
      </c>
      <c r="CA57" s="976">
        <v>0</v>
      </c>
      <c r="CB57" s="976">
        <v>0</v>
      </c>
      <c r="CC57" s="976">
        <v>0</v>
      </c>
      <c r="CD57" s="976">
        <v>0</v>
      </c>
      <c r="CE57" s="976">
        <v>0</v>
      </c>
      <c r="CF57" s="976">
        <v>0</v>
      </c>
      <c r="CG57" s="976">
        <v>0</v>
      </c>
      <c r="CH57" s="976">
        <v>0</v>
      </c>
      <c r="CI57" s="976">
        <v>0</v>
      </c>
      <c r="CJ57" s="976">
        <v>0</v>
      </c>
      <c r="CK57" s="976">
        <v>0</v>
      </c>
      <c r="CL57" s="976">
        <v>0</v>
      </c>
      <c r="CM57" s="976"/>
      <c r="CN57" s="976"/>
      <c r="CO57" s="976"/>
      <c r="CP57" s="976"/>
      <c r="CQ57" s="976"/>
      <c r="CR57" s="976"/>
      <c r="CS57" s="976"/>
      <c r="CT57" s="976"/>
      <c r="CU57" s="976"/>
      <c r="CV57" s="976"/>
      <c r="CW57" s="976"/>
      <c r="CX57" s="976"/>
      <c r="CY57" s="976"/>
      <c r="CZ57" s="976"/>
      <c r="DA57" s="976"/>
      <c r="DB57" s="976"/>
      <c r="DC57" s="976"/>
      <c r="DD57" s="976"/>
      <c r="DE57" s="976"/>
      <c r="DF57" s="976"/>
      <c r="DG57" s="976"/>
      <c r="DH57" s="976"/>
      <c r="DI57" s="976"/>
      <c r="DJ57" s="976"/>
      <c r="DK57" s="976"/>
      <c r="DL57" s="976"/>
      <c r="DM57" s="976"/>
      <c r="DN57" s="976"/>
      <c r="DO57" s="976"/>
      <c r="DP57" s="976"/>
      <c r="DQ57" s="976"/>
      <c r="DR57" s="976"/>
      <c r="DS57" s="976"/>
      <c r="DT57" s="976"/>
      <c r="DU57" s="976"/>
      <c r="DV57" s="976"/>
      <c r="DW57" s="976"/>
      <c r="DX57" s="976"/>
      <c r="DY57" s="976"/>
      <c r="DZ57" s="976"/>
      <c r="EA57" s="976"/>
      <c r="EB57" s="976"/>
      <c r="EC57" s="976"/>
      <c r="ED57" s="976"/>
      <c r="EE57" s="976"/>
      <c r="EF57" s="976"/>
      <c r="EG57" s="976"/>
      <c r="EH57" s="976"/>
      <c r="EI57" s="976"/>
      <c r="EJ57" s="976"/>
      <c r="EK57" s="976"/>
      <c r="EL57" s="976"/>
      <c r="EM57" s="976"/>
      <c r="EN57" s="976"/>
      <c r="EO57" s="976"/>
      <c r="EP57" s="976"/>
      <c r="EQ57" s="976"/>
      <c r="ER57" s="976"/>
      <c r="ES57" s="976"/>
      <c r="ET57" s="976"/>
      <c r="EU57" s="976"/>
      <c r="EV57" s="976"/>
      <c r="EW57" s="976"/>
      <c r="EX57" s="976"/>
      <c r="EY57" s="976"/>
      <c r="EZ57" s="976"/>
      <c r="FA57" s="976"/>
      <c r="FB57" s="976"/>
      <c r="FC57" s="976"/>
      <c r="FD57" s="976"/>
      <c r="FE57" s="976"/>
      <c r="FF57" s="976"/>
      <c r="FG57" s="976"/>
      <c r="FH57" s="976"/>
      <c r="FI57" s="976"/>
      <c r="FJ57" s="976"/>
      <c r="FK57" s="976"/>
      <c r="FL57" s="976"/>
      <c r="FM57" s="976"/>
      <c r="FN57" s="976"/>
      <c r="FO57" s="976"/>
      <c r="FP57" s="976"/>
      <c r="FQ57" s="976"/>
      <c r="FR57" s="976"/>
      <c r="FS57" s="976"/>
      <c r="FT57" s="976"/>
      <c r="FU57" s="976"/>
      <c r="FV57" s="976"/>
      <c r="FW57" s="976"/>
      <c r="FX57" s="976"/>
      <c r="FY57" s="976"/>
      <c r="FZ57" s="976"/>
      <c r="GA57" s="976"/>
      <c r="GB57" s="976"/>
      <c r="GC57" s="976"/>
      <c r="GD57" s="976"/>
      <c r="GG57" s="976"/>
      <c r="GH57" s="976"/>
      <c r="GI57" s="976"/>
      <c r="GJ57" s="976"/>
      <c r="GK57" s="976"/>
      <c r="GL57" s="976"/>
      <c r="GM57" s="976"/>
      <c r="GP57" s="976"/>
      <c r="GQ57" s="976"/>
      <c r="GR57" s="976"/>
      <c r="GS57" s="976"/>
      <c r="GT57" s="976"/>
      <c r="GU57" s="976"/>
      <c r="GV57" s="976"/>
      <c r="GW57" s="976"/>
      <c r="GX57" s="976"/>
      <c r="GY57" s="976"/>
      <c r="GZ57" s="976"/>
      <c r="HA57" s="976"/>
      <c r="HB57" s="976"/>
      <c r="HC57" s="976"/>
      <c r="HD57" s="976"/>
      <c r="HE57" s="976"/>
      <c r="HF57" s="976"/>
      <c r="HG57" s="976"/>
      <c r="HH57" s="976"/>
      <c r="HI57" s="976"/>
      <c r="HJ57" s="976"/>
      <c r="HK57" s="976"/>
      <c r="HL57" s="976"/>
      <c r="HM57" s="976"/>
      <c r="HN57" s="976"/>
      <c r="HO57" s="976"/>
      <c r="HP57" s="976"/>
      <c r="HQ57" s="976"/>
      <c r="HR57" s="976"/>
      <c r="HS57" s="976"/>
      <c r="HT57" s="976"/>
      <c r="HU57" s="976"/>
      <c r="HV57" s="976"/>
      <c r="HW57" s="976"/>
      <c r="HX57" s="976"/>
      <c r="HY57" s="976"/>
      <c r="HZ57" s="976"/>
      <c r="IA57" s="976"/>
      <c r="IB57" s="976"/>
      <c r="IC57" s="976"/>
      <c r="ID57" s="976"/>
      <c r="IE57" s="976"/>
      <c r="IF57" s="976"/>
      <c r="IG57" s="976"/>
      <c r="IH57" s="976"/>
      <c r="II57" s="976"/>
      <c r="IJ57" s="976"/>
      <c r="IK57" s="976"/>
      <c r="IL57" s="976"/>
      <c r="IM57" s="976"/>
      <c r="IN57" s="976"/>
      <c r="IO57" s="976"/>
      <c r="IP57" s="976"/>
      <c r="IQ57" s="976"/>
      <c r="IR57" s="976"/>
      <c r="IS57" s="976"/>
      <c r="IT57" s="976"/>
      <c r="IU57" s="976"/>
      <c r="IV57" s="976"/>
      <c r="IW57" s="976"/>
      <c r="IX57" s="976"/>
      <c r="IY57" s="976"/>
      <c r="IZ57" s="976"/>
      <c r="JA57" s="976"/>
      <c r="JB57" s="976"/>
      <c r="JC57" s="976"/>
      <c r="JD57" s="976"/>
      <c r="JE57" s="976"/>
      <c r="JF57" s="976"/>
      <c r="JG57" s="976"/>
      <c r="JH57" s="976"/>
      <c r="JI57" s="976"/>
      <c r="JJ57" s="976"/>
      <c r="JK57" s="976"/>
      <c r="JL57" s="976"/>
      <c r="JM57" s="976"/>
      <c r="JN57" s="976"/>
      <c r="JO57" s="976"/>
      <c r="JP57" s="976"/>
      <c r="JQ57" s="976"/>
      <c r="JR57" s="976"/>
      <c r="JS57" s="976"/>
    </row>
    <row r="58" spans="1:279">
      <c r="A58" s="965" t="e">
        <f>IF(B57=TRUE,(A57+28),(A57+29))</f>
        <v>#VALUE!</v>
      </c>
      <c r="C58" s="971" t="e">
        <f t="shared" si="9"/>
        <v>#VALUE!</v>
      </c>
      <c r="D58" s="968" t="e">
        <f t="shared" si="10"/>
        <v>#VALUE!</v>
      </c>
      <c r="E58" s="963" t="e">
        <f t="shared" si="11"/>
        <v>#VALUE!</v>
      </c>
      <c r="F58" s="963" t="e">
        <f t="shared" si="12"/>
        <v>#VALUE!</v>
      </c>
      <c r="G58" s="965" t="e">
        <f t="shared" si="13"/>
        <v>#VALUE!</v>
      </c>
      <c r="H58" s="965" t="e">
        <f t="shared" si="14"/>
        <v>#VALUE!</v>
      </c>
      <c r="M58" s="968">
        <v>1</v>
      </c>
      <c r="N58" s="985"/>
      <c r="O58" s="986"/>
      <c r="P58" s="986"/>
      <c r="Q58" s="986"/>
      <c r="R58" s="986"/>
      <c r="S58" s="986"/>
      <c r="T58" s="986"/>
      <c r="U58" s="976"/>
    </row>
    <row r="59" spans="1:279">
      <c r="A59" s="965" t="e">
        <f>A58+31</f>
        <v>#VALUE!</v>
      </c>
      <c r="C59" s="971" t="e">
        <f t="shared" si="9"/>
        <v>#VALUE!</v>
      </c>
      <c r="D59" s="968" t="e">
        <f t="shared" si="10"/>
        <v>#VALUE!</v>
      </c>
      <c r="E59" s="963" t="e">
        <f t="shared" si="11"/>
        <v>#VALUE!</v>
      </c>
      <c r="F59" s="963" t="e">
        <f t="shared" si="12"/>
        <v>#VALUE!</v>
      </c>
      <c r="G59" s="965" t="e">
        <f t="shared" si="13"/>
        <v>#VALUE!</v>
      </c>
      <c r="H59" s="965" t="e">
        <f t="shared" si="14"/>
        <v>#VALUE!</v>
      </c>
      <c r="M59" s="968">
        <v>2</v>
      </c>
      <c r="N59" s="985"/>
      <c r="O59" s="986"/>
      <c r="P59" s="986"/>
      <c r="Q59" s="986"/>
      <c r="R59" s="986"/>
      <c r="S59" s="986"/>
      <c r="T59" s="986"/>
      <c r="U59" s="976"/>
    </row>
    <row r="60" spans="1:279">
      <c r="A60" s="965" t="e">
        <f>A59+30</f>
        <v>#VALUE!</v>
      </c>
      <c r="C60" s="971" t="e">
        <f t="shared" si="9"/>
        <v>#VALUE!</v>
      </c>
      <c r="D60" s="968" t="e">
        <f t="shared" si="10"/>
        <v>#VALUE!</v>
      </c>
      <c r="E60" s="963" t="e">
        <f t="shared" si="11"/>
        <v>#VALUE!</v>
      </c>
      <c r="F60" s="963" t="e">
        <f t="shared" si="12"/>
        <v>#VALUE!</v>
      </c>
      <c r="G60" s="965" t="e">
        <f t="shared" si="13"/>
        <v>#VALUE!</v>
      </c>
      <c r="H60" s="965" t="e">
        <f t="shared" si="14"/>
        <v>#VALUE!</v>
      </c>
      <c r="M60" s="968">
        <v>3</v>
      </c>
      <c r="N60" s="985"/>
      <c r="O60" s="986"/>
      <c r="P60" s="986"/>
      <c r="Q60" s="986"/>
      <c r="R60" s="986"/>
      <c r="S60" s="986"/>
      <c r="T60" s="986"/>
      <c r="U60" s="976"/>
    </row>
    <row r="61" spans="1:279">
      <c r="A61" s="965" t="e">
        <f>A60+31</f>
        <v>#VALUE!</v>
      </c>
      <c r="C61" s="971" t="e">
        <f t="shared" si="9"/>
        <v>#VALUE!</v>
      </c>
      <c r="D61" s="968" t="e">
        <f t="shared" si="10"/>
        <v>#VALUE!</v>
      </c>
      <c r="E61" s="963" t="e">
        <f t="shared" si="11"/>
        <v>#VALUE!</v>
      </c>
      <c r="F61" s="963" t="e">
        <f t="shared" si="12"/>
        <v>#VALUE!</v>
      </c>
      <c r="G61" s="965" t="e">
        <f t="shared" si="13"/>
        <v>#VALUE!</v>
      </c>
      <c r="H61" s="965" t="e">
        <f t="shared" si="14"/>
        <v>#VALUE!</v>
      </c>
      <c r="M61" s="968">
        <v>4</v>
      </c>
      <c r="N61" s="985"/>
      <c r="O61" s="986"/>
      <c r="P61" s="986"/>
      <c r="Q61" s="986"/>
      <c r="R61" s="986"/>
      <c r="S61" s="986"/>
      <c r="T61" s="986"/>
      <c r="U61" s="976"/>
    </row>
    <row r="62" spans="1:279">
      <c r="A62" s="965" t="e">
        <f>A61+30</f>
        <v>#VALUE!</v>
      </c>
      <c r="C62" s="971" t="e">
        <f t="shared" si="9"/>
        <v>#VALUE!</v>
      </c>
      <c r="D62" s="968" t="e">
        <f t="shared" si="10"/>
        <v>#VALUE!</v>
      </c>
      <c r="E62" s="963" t="e">
        <f t="shared" si="11"/>
        <v>#VALUE!</v>
      </c>
      <c r="F62" s="963" t="e">
        <f t="shared" si="12"/>
        <v>#VALUE!</v>
      </c>
      <c r="G62" s="965" t="e">
        <f t="shared" si="13"/>
        <v>#VALUE!</v>
      </c>
      <c r="H62" s="965" t="e">
        <f t="shared" si="14"/>
        <v>#VALUE!</v>
      </c>
      <c r="M62" s="968">
        <v>5</v>
      </c>
      <c r="N62" s="985"/>
      <c r="O62" s="986"/>
      <c r="P62" s="986"/>
      <c r="Q62" s="986"/>
      <c r="R62" s="986"/>
      <c r="S62" s="986"/>
      <c r="T62" s="986"/>
    </row>
    <row r="63" spans="1:279">
      <c r="A63" s="965" t="e">
        <f>A62+31</f>
        <v>#VALUE!</v>
      </c>
      <c r="C63" s="971" t="e">
        <f t="shared" si="9"/>
        <v>#VALUE!</v>
      </c>
      <c r="D63" s="968" t="e">
        <f t="shared" si="10"/>
        <v>#VALUE!</v>
      </c>
      <c r="E63" s="963" t="e">
        <f t="shared" si="11"/>
        <v>#VALUE!</v>
      </c>
      <c r="F63" s="963" t="e">
        <f t="shared" si="12"/>
        <v>#VALUE!</v>
      </c>
      <c r="G63" s="965" t="e">
        <f t="shared" si="13"/>
        <v>#VALUE!</v>
      </c>
      <c r="H63" s="965" t="e">
        <f t="shared" si="14"/>
        <v>#VALUE!</v>
      </c>
      <c r="M63" s="968">
        <v>6</v>
      </c>
      <c r="N63" s="985"/>
      <c r="O63" s="986"/>
      <c r="P63" s="986"/>
      <c r="Q63" s="986"/>
      <c r="R63" s="986"/>
      <c r="S63" s="986"/>
      <c r="T63" s="986"/>
    </row>
    <row r="64" spans="1:279">
      <c r="A64" s="965" t="e">
        <f>A63+31</f>
        <v>#VALUE!</v>
      </c>
      <c r="C64" s="971" t="e">
        <f t="shared" si="9"/>
        <v>#VALUE!</v>
      </c>
      <c r="D64" s="968" t="e">
        <f t="shared" si="10"/>
        <v>#VALUE!</v>
      </c>
      <c r="E64" s="963" t="e">
        <f t="shared" si="11"/>
        <v>#VALUE!</v>
      </c>
      <c r="F64" s="963" t="e">
        <f t="shared" si="12"/>
        <v>#VALUE!</v>
      </c>
      <c r="G64" s="965" t="e">
        <f t="shared" si="13"/>
        <v>#VALUE!</v>
      </c>
      <c r="H64" s="965" t="e">
        <f t="shared" si="14"/>
        <v>#VALUE!</v>
      </c>
      <c r="M64" s="968">
        <v>7</v>
      </c>
      <c r="N64" s="985"/>
      <c r="O64" s="986"/>
      <c r="P64" s="986"/>
      <c r="Q64" s="986"/>
      <c r="R64" s="986"/>
      <c r="S64" s="986"/>
      <c r="T64" s="986"/>
    </row>
    <row r="65" spans="1:20">
      <c r="A65" s="965" t="e">
        <f>A64+30</f>
        <v>#VALUE!</v>
      </c>
      <c r="C65" s="971" t="e">
        <f t="shared" si="9"/>
        <v>#VALUE!</v>
      </c>
      <c r="D65" s="968" t="e">
        <f t="shared" si="10"/>
        <v>#VALUE!</v>
      </c>
      <c r="E65" s="963" t="e">
        <f t="shared" si="11"/>
        <v>#VALUE!</v>
      </c>
      <c r="F65" s="963" t="e">
        <f t="shared" si="12"/>
        <v>#VALUE!</v>
      </c>
      <c r="G65" s="965" t="e">
        <f t="shared" si="13"/>
        <v>#VALUE!</v>
      </c>
      <c r="H65" s="965" t="e">
        <f t="shared" si="14"/>
        <v>#VALUE!</v>
      </c>
      <c r="M65" s="968">
        <v>8</v>
      </c>
      <c r="N65" s="985"/>
      <c r="O65" s="986"/>
      <c r="P65" s="986"/>
      <c r="Q65" s="986"/>
      <c r="R65" s="986"/>
      <c r="S65" s="986"/>
      <c r="T65" s="986"/>
    </row>
    <row r="66" spans="1:20">
      <c r="A66" s="965" t="e">
        <f>A65+31</f>
        <v>#VALUE!</v>
      </c>
      <c r="C66" s="971" t="e">
        <f t="shared" si="9"/>
        <v>#VALUE!</v>
      </c>
      <c r="D66" s="968" t="e">
        <f t="shared" si="10"/>
        <v>#VALUE!</v>
      </c>
      <c r="E66" s="963" t="e">
        <f t="shared" si="11"/>
        <v>#VALUE!</v>
      </c>
      <c r="F66" s="963" t="e">
        <f t="shared" si="12"/>
        <v>#VALUE!</v>
      </c>
      <c r="G66" s="965" t="e">
        <f t="shared" si="13"/>
        <v>#VALUE!</v>
      </c>
      <c r="H66" s="965" t="e">
        <f t="shared" si="14"/>
        <v>#VALUE!</v>
      </c>
      <c r="M66" s="968">
        <v>9</v>
      </c>
      <c r="N66" s="985"/>
      <c r="O66" s="986"/>
      <c r="P66" s="986"/>
      <c r="Q66" s="986"/>
      <c r="R66" s="986"/>
      <c r="S66" s="986"/>
      <c r="T66" s="986"/>
    </row>
    <row r="67" spans="1:20">
      <c r="A67" s="965" t="e">
        <f>A66+30</f>
        <v>#VALUE!</v>
      </c>
      <c r="C67" s="971" t="e">
        <f t="shared" si="9"/>
        <v>#VALUE!</v>
      </c>
      <c r="D67" s="968" t="e">
        <f t="shared" si="10"/>
        <v>#VALUE!</v>
      </c>
      <c r="E67" s="963" t="e">
        <f t="shared" si="11"/>
        <v>#VALUE!</v>
      </c>
      <c r="F67" s="963" t="e">
        <f t="shared" si="12"/>
        <v>#VALUE!</v>
      </c>
      <c r="G67" s="965" t="e">
        <f t="shared" si="13"/>
        <v>#VALUE!</v>
      </c>
      <c r="H67" s="965" t="e">
        <f t="shared" si="14"/>
        <v>#VALUE!</v>
      </c>
      <c r="M67" s="968">
        <v>10</v>
      </c>
      <c r="N67" s="985"/>
      <c r="O67" s="986"/>
      <c r="P67" s="986"/>
      <c r="Q67" s="986"/>
      <c r="R67" s="986"/>
      <c r="S67" s="986"/>
      <c r="T67" s="986"/>
    </row>
    <row r="68" spans="1:20">
      <c r="A68" s="965" t="e">
        <f>A67+31</f>
        <v>#VALUE!</v>
      </c>
      <c r="C68" s="971" t="e">
        <f t="shared" si="9"/>
        <v>#VALUE!</v>
      </c>
      <c r="D68" s="968" t="e">
        <f t="shared" si="10"/>
        <v>#VALUE!</v>
      </c>
      <c r="E68" s="963" t="e">
        <f t="shared" si="11"/>
        <v>#VALUE!</v>
      </c>
      <c r="F68" s="963" t="e">
        <f t="shared" si="12"/>
        <v>#VALUE!</v>
      </c>
      <c r="G68" s="965" t="e">
        <f t="shared" si="13"/>
        <v>#VALUE!</v>
      </c>
      <c r="H68" s="965" t="e">
        <f t="shared" si="14"/>
        <v>#VALUE!</v>
      </c>
      <c r="M68" s="968">
        <v>11</v>
      </c>
      <c r="N68" s="985"/>
      <c r="O68" s="986"/>
      <c r="P68" s="986"/>
      <c r="Q68" s="986"/>
      <c r="R68" s="986"/>
      <c r="S68" s="986"/>
      <c r="T68" s="986"/>
    </row>
    <row r="69" spans="1:20">
      <c r="A69" s="965" t="e">
        <f>A68+31</f>
        <v>#VALUE!</v>
      </c>
      <c r="B69" s="963" t="b">
        <f>ISNA(VLOOKUP(A69,$E$4:$E$13,1,FALSE))</f>
        <v>0</v>
      </c>
      <c r="C69" s="971" t="e">
        <f t="shared" si="9"/>
        <v>#VALUE!</v>
      </c>
      <c r="D69" s="968" t="e">
        <f t="shared" si="10"/>
        <v>#VALUE!</v>
      </c>
      <c r="E69" s="963" t="e">
        <f t="shared" si="11"/>
        <v>#VALUE!</v>
      </c>
      <c r="F69" s="963" t="e">
        <f t="shared" si="12"/>
        <v>#VALUE!</v>
      </c>
      <c r="G69" s="965" t="e">
        <f t="shared" si="13"/>
        <v>#VALUE!</v>
      </c>
      <c r="H69" s="965" t="e">
        <f t="shared" si="14"/>
        <v>#VALUE!</v>
      </c>
      <c r="M69" s="968">
        <v>12</v>
      </c>
      <c r="N69" s="985"/>
      <c r="O69" s="986"/>
      <c r="P69" s="986"/>
      <c r="Q69" s="986"/>
      <c r="R69" s="986"/>
      <c r="S69" s="986"/>
      <c r="T69" s="986"/>
    </row>
    <row r="70" spans="1:20">
      <c r="A70" s="965" t="e">
        <f>IF(B69=TRUE,(A69+28),(A69+29))</f>
        <v>#VALUE!</v>
      </c>
      <c r="C70" s="971" t="e">
        <f t="shared" si="9"/>
        <v>#VALUE!</v>
      </c>
      <c r="D70" s="968" t="e">
        <f t="shared" si="10"/>
        <v>#VALUE!</v>
      </c>
      <c r="E70" s="963" t="e">
        <f t="shared" si="11"/>
        <v>#VALUE!</v>
      </c>
      <c r="F70" s="963" t="e">
        <f t="shared" si="12"/>
        <v>#VALUE!</v>
      </c>
      <c r="G70" s="965" t="e">
        <f t="shared" si="13"/>
        <v>#VALUE!</v>
      </c>
      <c r="H70" s="965" t="e">
        <f t="shared" si="14"/>
        <v>#VALUE!</v>
      </c>
      <c r="M70" s="968">
        <v>13</v>
      </c>
      <c r="N70" s="985"/>
      <c r="O70" s="986"/>
      <c r="P70" s="986"/>
      <c r="Q70" s="986"/>
      <c r="R70" s="986"/>
      <c r="S70" s="986"/>
      <c r="T70" s="986"/>
    </row>
    <row r="71" spans="1:20">
      <c r="A71" s="965" t="e">
        <f>A70+31</f>
        <v>#VALUE!</v>
      </c>
      <c r="C71" s="971" t="e">
        <f t="shared" si="9"/>
        <v>#VALUE!</v>
      </c>
      <c r="D71" s="968" t="e">
        <f t="shared" si="10"/>
        <v>#VALUE!</v>
      </c>
      <c r="E71" s="963" t="e">
        <f t="shared" si="11"/>
        <v>#VALUE!</v>
      </c>
      <c r="F71" s="963" t="e">
        <f t="shared" si="12"/>
        <v>#VALUE!</v>
      </c>
      <c r="G71" s="965" t="e">
        <f t="shared" si="13"/>
        <v>#VALUE!</v>
      </c>
      <c r="H71" s="965" t="e">
        <f t="shared" si="14"/>
        <v>#VALUE!</v>
      </c>
      <c r="M71" s="968">
        <v>14</v>
      </c>
      <c r="N71" s="985"/>
      <c r="O71" s="986"/>
      <c r="P71" s="986"/>
      <c r="Q71" s="986"/>
      <c r="R71" s="986"/>
      <c r="S71" s="986"/>
      <c r="T71" s="986"/>
    </row>
    <row r="72" spans="1:20">
      <c r="A72" s="965" t="e">
        <f>A71+30</f>
        <v>#VALUE!</v>
      </c>
      <c r="C72" s="971" t="e">
        <f t="shared" si="9"/>
        <v>#VALUE!</v>
      </c>
      <c r="D72" s="968" t="e">
        <f t="shared" si="10"/>
        <v>#VALUE!</v>
      </c>
      <c r="E72" s="963" t="e">
        <f t="shared" si="11"/>
        <v>#VALUE!</v>
      </c>
      <c r="F72" s="963" t="e">
        <f t="shared" si="12"/>
        <v>#VALUE!</v>
      </c>
      <c r="G72" s="965" t="e">
        <f t="shared" si="13"/>
        <v>#VALUE!</v>
      </c>
      <c r="H72" s="965" t="e">
        <f t="shared" si="14"/>
        <v>#VALUE!</v>
      </c>
      <c r="M72" s="968">
        <v>15</v>
      </c>
      <c r="N72" s="985"/>
      <c r="O72" s="986"/>
      <c r="P72" s="986"/>
      <c r="Q72" s="986"/>
      <c r="R72" s="986"/>
      <c r="S72" s="986"/>
      <c r="T72" s="986"/>
    </row>
    <row r="73" spans="1:20">
      <c r="A73" s="965" t="e">
        <f>A72+31</f>
        <v>#VALUE!</v>
      </c>
      <c r="C73" s="971" t="e">
        <f t="shared" si="9"/>
        <v>#VALUE!</v>
      </c>
      <c r="D73" s="968" t="e">
        <f t="shared" si="10"/>
        <v>#VALUE!</v>
      </c>
      <c r="E73" s="963" t="e">
        <f t="shared" si="11"/>
        <v>#VALUE!</v>
      </c>
      <c r="F73" s="963" t="e">
        <f t="shared" si="12"/>
        <v>#VALUE!</v>
      </c>
      <c r="G73" s="965" t="e">
        <f t="shared" si="13"/>
        <v>#VALUE!</v>
      </c>
      <c r="H73" s="965" t="e">
        <f t="shared" si="14"/>
        <v>#VALUE!</v>
      </c>
      <c r="M73" s="968">
        <v>16</v>
      </c>
      <c r="N73" s="985"/>
      <c r="O73" s="986"/>
      <c r="P73" s="986"/>
      <c r="Q73" s="986"/>
      <c r="R73" s="986"/>
      <c r="S73" s="986"/>
      <c r="T73" s="986"/>
    </row>
    <row r="74" spans="1:20">
      <c r="A74" s="965" t="e">
        <f>A73+30</f>
        <v>#VALUE!</v>
      </c>
      <c r="C74" s="971" t="e">
        <f t="shared" si="9"/>
        <v>#VALUE!</v>
      </c>
      <c r="D74" s="968" t="e">
        <f t="shared" si="10"/>
        <v>#VALUE!</v>
      </c>
      <c r="E74" s="963" t="e">
        <f t="shared" si="11"/>
        <v>#VALUE!</v>
      </c>
      <c r="F74" s="963" t="e">
        <f t="shared" si="12"/>
        <v>#VALUE!</v>
      </c>
      <c r="G74" s="965" t="e">
        <f t="shared" si="13"/>
        <v>#VALUE!</v>
      </c>
      <c r="H74" s="965" t="e">
        <f t="shared" si="14"/>
        <v>#VALUE!</v>
      </c>
      <c r="M74" s="968">
        <v>17</v>
      </c>
      <c r="N74" s="985"/>
      <c r="O74" s="986"/>
      <c r="P74" s="986"/>
      <c r="Q74" s="986"/>
      <c r="R74" s="986"/>
      <c r="S74" s="986"/>
      <c r="T74" s="986"/>
    </row>
    <row r="75" spans="1:20">
      <c r="A75" s="965" t="e">
        <f>A74+31</f>
        <v>#VALUE!</v>
      </c>
      <c r="C75" s="971" t="e">
        <f t="shared" si="9"/>
        <v>#VALUE!</v>
      </c>
      <c r="D75" s="968" t="e">
        <f t="shared" si="10"/>
        <v>#VALUE!</v>
      </c>
      <c r="E75" s="963" t="e">
        <f t="shared" si="11"/>
        <v>#VALUE!</v>
      </c>
      <c r="F75" s="963" t="e">
        <f t="shared" si="12"/>
        <v>#VALUE!</v>
      </c>
      <c r="G75" s="965" t="e">
        <f t="shared" si="13"/>
        <v>#VALUE!</v>
      </c>
      <c r="H75" s="965" t="e">
        <f t="shared" si="14"/>
        <v>#VALUE!</v>
      </c>
      <c r="M75" s="968">
        <v>18</v>
      </c>
      <c r="N75" s="985"/>
      <c r="O75" s="986"/>
      <c r="P75" s="986"/>
      <c r="Q75" s="986"/>
      <c r="R75" s="986"/>
      <c r="S75" s="986"/>
      <c r="T75" s="986"/>
    </row>
    <row r="76" spans="1:20">
      <c r="A76" s="965" t="e">
        <f>A75+31</f>
        <v>#VALUE!</v>
      </c>
      <c r="C76" s="971" t="e">
        <f t="shared" si="9"/>
        <v>#VALUE!</v>
      </c>
      <c r="D76" s="968" t="e">
        <f t="shared" si="10"/>
        <v>#VALUE!</v>
      </c>
      <c r="E76" s="963" t="e">
        <f t="shared" si="11"/>
        <v>#VALUE!</v>
      </c>
      <c r="F76" s="963" t="e">
        <f t="shared" si="12"/>
        <v>#VALUE!</v>
      </c>
      <c r="G76" s="965" t="e">
        <f t="shared" si="13"/>
        <v>#VALUE!</v>
      </c>
      <c r="H76" s="965" t="e">
        <f t="shared" si="14"/>
        <v>#VALUE!</v>
      </c>
      <c r="M76" s="968">
        <v>19</v>
      </c>
      <c r="N76" s="985"/>
      <c r="O76" s="986"/>
      <c r="P76" s="986"/>
      <c r="Q76" s="986"/>
      <c r="R76" s="986"/>
      <c r="S76" s="986"/>
      <c r="T76" s="986"/>
    </row>
    <row r="77" spans="1:20">
      <c r="A77" s="965" t="e">
        <f>A76+30</f>
        <v>#VALUE!</v>
      </c>
      <c r="C77" s="971" t="e">
        <f t="shared" si="9"/>
        <v>#VALUE!</v>
      </c>
      <c r="D77" s="968" t="e">
        <f t="shared" si="10"/>
        <v>#VALUE!</v>
      </c>
      <c r="E77" s="963" t="e">
        <f t="shared" si="11"/>
        <v>#VALUE!</v>
      </c>
      <c r="F77" s="963" t="e">
        <f t="shared" si="12"/>
        <v>#VALUE!</v>
      </c>
      <c r="G77" s="965" t="e">
        <f t="shared" si="13"/>
        <v>#VALUE!</v>
      </c>
      <c r="H77" s="965" t="e">
        <f t="shared" si="14"/>
        <v>#VALUE!</v>
      </c>
      <c r="M77" s="968">
        <v>20</v>
      </c>
      <c r="N77" s="985"/>
      <c r="O77" s="986"/>
      <c r="P77" s="986"/>
      <c r="Q77" s="986"/>
      <c r="R77" s="986"/>
      <c r="S77" s="986"/>
      <c r="T77" s="986"/>
    </row>
    <row r="78" spans="1:20">
      <c r="A78" s="965" t="e">
        <f>A77+31</f>
        <v>#VALUE!</v>
      </c>
      <c r="C78" s="971" t="e">
        <f t="shared" si="9"/>
        <v>#VALUE!</v>
      </c>
      <c r="D78" s="968" t="e">
        <f t="shared" si="10"/>
        <v>#VALUE!</v>
      </c>
      <c r="E78" s="963" t="e">
        <f t="shared" si="11"/>
        <v>#VALUE!</v>
      </c>
      <c r="F78" s="963" t="e">
        <f t="shared" si="12"/>
        <v>#VALUE!</v>
      </c>
      <c r="G78" s="965" t="e">
        <f t="shared" si="13"/>
        <v>#VALUE!</v>
      </c>
      <c r="H78" s="965" t="e">
        <f t="shared" si="14"/>
        <v>#VALUE!</v>
      </c>
      <c r="M78" s="968">
        <v>21</v>
      </c>
      <c r="N78" s="985"/>
      <c r="O78" s="986"/>
      <c r="P78" s="986"/>
      <c r="Q78" s="986"/>
      <c r="R78" s="986"/>
      <c r="S78" s="986"/>
      <c r="T78" s="986"/>
    </row>
    <row r="79" spans="1:20">
      <c r="A79" s="965" t="e">
        <f>A78+30</f>
        <v>#VALUE!</v>
      </c>
      <c r="C79" s="971" t="e">
        <f t="shared" si="9"/>
        <v>#VALUE!</v>
      </c>
      <c r="D79" s="968" t="e">
        <f t="shared" si="10"/>
        <v>#VALUE!</v>
      </c>
      <c r="E79" s="963" t="e">
        <f t="shared" si="11"/>
        <v>#VALUE!</v>
      </c>
      <c r="F79" s="963" t="e">
        <f t="shared" si="12"/>
        <v>#VALUE!</v>
      </c>
      <c r="G79" s="965" t="e">
        <f t="shared" si="13"/>
        <v>#VALUE!</v>
      </c>
      <c r="H79" s="965" t="e">
        <f t="shared" si="14"/>
        <v>#VALUE!</v>
      </c>
      <c r="M79" s="968">
        <v>22</v>
      </c>
      <c r="N79" s="985"/>
      <c r="O79" s="986"/>
      <c r="P79" s="986"/>
      <c r="Q79" s="986"/>
      <c r="R79" s="986"/>
      <c r="S79" s="986"/>
      <c r="T79" s="986"/>
    </row>
    <row r="80" spans="1:20">
      <c r="A80" s="965" t="e">
        <f>A79+31</f>
        <v>#VALUE!</v>
      </c>
      <c r="C80" s="971" t="e">
        <f t="shared" si="9"/>
        <v>#VALUE!</v>
      </c>
      <c r="D80" s="968" t="e">
        <f t="shared" si="10"/>
        <v>#VALUE!</v>
      </c>
      <c r="E80" s="963" t="e">
        <f t="shared" si="11"/>
        <v>#VALUE!</v>
      </c>
      <c r="F80" s="963" t="e">
        <f t="shared" si="12"/>
        <v>#VALUE!</v>
      </c>
      <c r="G80" s="965" t="e">
        <f t="shared" si="13"/>
        <v>#VALUE!</v>
      </c>
      <c r="H80" s="965" t="e">
        <f t="shared" si="14"/>
        <v>#VALUE!</v>
      </c>
      <c r="M80" s="968">
        <v>23</v>
      </c>
      <c r="N80" s="985"/>
      <c r="O80" s="986"/>
      <c r="P80" s="986"/>
      <c r="Q80" s="986"/>
      <c r="R80" s="986"/>
      <c r="S80" s="986"/>
      <c r="T80" s="986"/>
    </row>
    <row r="81" spans="1:20">
      <c r="A81" s="965" t="e">
        <f>A80+31</f>
        <v>#VALUE!</v>
      </c>
      <c r="B81" s="963" t="b">
        <f>ISNA(VLOOKUP(A81,$E$4:$E$13,1,FALSE))</f>
        <v>0</v>
      </c>
      <c r="C81" s="971" t="e">
        <f t="shared" si="9"/>
        <v>#VALUE!</v>
      </c>
      <c r="D81" s="968" t="e">
        <f t="shared" si="10"/>
        <v>#VALUE!</v>
      </c>
      <c r="E81" s="963" t="e">
        <f t="shared" si="11"/>
        <v>#VALUE!</v>
      </c>
      <c r="F81" s="963" t="e">
        <f t="shared" si="12"/>
        <v>#VALUE!</v>
      </c>
      <c r="G81" s="965" t="e">
        <f t="shared" si="13"/>
        <v>#VALUE!</v>
      </c>
      <c r="H81" s="965" t="e">
        <f t="shared" si="14"/>
        <v>#VALUE!</v>
      </c>
      <c r="M81" s="968">
        <v>24</v>
      </c>
      <c r="N81" s="985"/>
      <c r="O81" s="986"/>
      <c r="P81" s="986"/>
      <c r="Q81" s="986"/>
      <c r="R81" s="986"/>
      <c r="S81" s="986"/>
      <c r="T81" s="986"/>
    </row>
    <row r="82" spans="1:20">
      <c r="A82" s="965" t="e">
        <f>IF(B81=TRUE,(A81+28),(A81+29))</f>
        <v>#VALUE!</v>
      </c>
      <c r="C82" s="971" t="e">
        <f t="shared" si="9"/>
        <v>#VALUE!</v>
      </c>
      <c r="D82" s="968" t="e">
        <f t="shared" si="10"/>
        <v>#VALUE!</v>
      </c>
      <c r="E82" s="963" t="e">
        <f t="shared" si="11"/>
        <v>#VALUE!</v>
      </c>
      <c r="F82" s="963" t="e">
        <f t="shared" si="12"/>
        <v>#VALUE!</v>
      </c>
      <c r="G82" s="965" t="e">
        <f t="shared" si="13"/>
        <v>#VALUE!</v>
      </c>
      <c r="H82" s="965" t="e">
        <f t="shared" si="14"/>
        <v>#VALUE!</v>
      </c>
      <c r="M82" s="968">
        <v>25</v>
      </c>
      <c r="N82" s="985"/>
      <c r="O82" s="986"/>
      <c r="P82" s="986"/>
      <c r="Q82" s="986"/>
      <c r="R82" s="986"/>
      <c r="S82" s="986"/>
      <c r="T82" s="986"/>
    </row>
    <row r="83" spans="1:20">
      <c r="A83" s="965" t="e">
        <f>A82+31</f>
        <v>#VALUE!</v>
      </c>
      <c r="C83" s="971" t="e">
        <f t="shared" si="9"/>
        <v>#VALUE!</v>
      </c>
      <c r="D83" s="968" t="e">
        <f t="shared" si="10"/>
        <v>#VALUE!</v>
      </c>
      <c r="E83" s="963" t="e">
        <f t="shared" si="11"/>
        <v>#VALUE!</v>
      </c>
      <c r="F83" s="963" t="e">
        <f t="shared" si="12"/>
        <v>#VALUE!</v>
      </c>
      <c r="G83" s="965" t="e">
        <f t="shared" si="13"/>
        <v>#VALUE!</v>
      </c>
      <c r="H83" s="965" t="e">
        <f t="shared" si="14"/>
        <v>#VALUE!</v>
      </c>
      <c r="M83" s="968">
        <v>26</v>
      </c>
      <c r="N83" s="985"/>
      <c r="O83" s="986"/>
      <c r="P83" s="986"/>
      <c r="Q83" s="986"/>
      <c r="R83" s="986"/>
      <c r="S83" s="986"/>
      <c r="T83" s="986"/>
    </row>
    <row r="84" spans="1:20">
      <c r="A84" s="965" t="e">
        <f>A83+30</f>
        <v>#VALUE!</v>
      </c>
      <c r="C84" s="971" t="e">
        <f t="shared" si="9"/>
        <v>#VALUE!</v>
      </c>
      <c r="D84" s="968" t="e">
        <f t="shared" si="10"/>
        <v>#VALUE!</v>
      </c>
      <c r="E84" s="963" t="e">
        <f t="shared" si="11"/>
        <v>#VALUE!</v>
      </c>
      <c r="F84" s="963" t="e">
        <f t="shared" si="12"/>
        <v>#VALUE!</v>
      </c>
      <c r="G84" s="965" t="e">
        <f t="shared" si="13"/>
        <v>#VALUE!</v>
      </c>
      <c r="H84" s="965" t="e">
        <f t="shared" si="14"/>
        <v>#VALUE!</v>
      </c>
      <c r="M84" s="968">
        <v>27</v>
      </c>
      <c r="N84" s="985"/>
      <c r="O84" s="986"/>
      <c r="P84" s="986"/>
      <c r="Q84" s="986"/>
      <c r="R84" s="986"/>
      <c r="S84" s="986"/>
      <c r="T84" s="986"/>
    </row>
    <row r="85" spans="1:20">
      <c r="A85" s="965" t="e">
        <f>A84+31</f>
        <v>#VALUE!</v>
      </c>
      <c r="C85" s="971" t="e">
        <f t="shared" ref="C85:C148" si="29">A85</f>
        <v>#VALUE!</v>
      </c>
      <c r="D85" s="968" t="e">
        <f t="shared" ref="D85:D148" si="30">IF(($P$23-C85)&lt;0,"",($P$23-C85))</f>
        <v>#VALUE!</v>
      </c>
      <c r="E85" s="963" t="e">
        <f t="shared" ref="E85:E148" si="31">IF(D85="","",RANK(D85,$D$20:$D$215,1))</f>
        <v>#VALUE!</v>
      </c>
      <c r="F85" s="963" t="e">
        <f t="shared" ref="F85:F148" si="32">IF(A85&lt;$L$37,$K$36,IF(A85&lt;$L$38,$K$37,IF(A85&lt;$L$39,$K$38,IF(A85&lt;$L$40,$K$39,IF(A85&lt;$L$41,$K$40,$K$41)))))</f>
        <v>#VALUE!</v>
      </c>
      <c r="G85" s="965" t="e">
        <f t="shared" ref="G85:G148" si="33">VLOOKUP(F85,$K$36:$L$41,2,FALSE)</f>
        <v>#VALUE!</v>
      </c>
      <c r="H85" s="965" t="e">
        <f t="shared" ref="H85:H148" si="34">A85</f>
        <v>#VALUE!</v>
      </c>
      <c r="M85" s="968">
        <v>28</v>
      </c>
      <c r="N85" s="985"/>
      <c r="O85" s="986"/>
      <c r="P85" s="986"/>
      <c r="Q85" s="986"/>
      <c r="R85" s="986"/>
      <c r="S85" s="986"/>
      <c r="T85" s="986"/>
    </row>
    <row r="86" spans="1:20">
      <c r="A86" s="965" t="e">
        <f>A85+30</f>
        <v>#VALUE!</v>
      </c>
      <c r="C86" s="971" t="e">
        <f t="shared" si="29"/>
        <v>#VALUE!</v>
      </c>
      <c r="D86" s="968" t="e">
        <f t="shared" si="30"/>
        <v>#VALUE!</v>
      </c>
      <c r="E86" s="963" t="e">
        <f t="shared" si="31"/>
        <v>#VALUE!</v>
      </c>
      <c r="F86" s="963" t="e">
        <f t="shared" si="32"/>
        <v>#VALUE!</v>
      </c>
      <c r="G86" s="965" t="e">
        <f t="shared" si="33"/>
        <v>#VALUE!</v>
      </c>
      <c r="H86" s="965" t="e">
        <f t="shared" si="34"/>
        <v>#VALUE!</v>
      </c>
      <c r="M86" s="968">
        <v>29</v>
      </c>
      <c r="N86" s="985"/>
      <c r="O86" s="986"/>
      <c r="P86" s="986"/>
      <c r="Q86" s="986"/>
      <c r="R86" s="986"/>
      <c r="S86" s="986"/>
      <c r="T86" s="986"/>
    </row>
    <row r="87" spans="1:20">
      <c r="A87" s="965" t="e">
        <f>A86+31</f>
        <v>#VALUE!</v>
      </c>
      <c r="C87" s="971" t="e">
        <f t="shared" si="29"/>
        <v>#VALUE!</v>
      </c>
      <c r="D87" s="968" t="e">
        <f t="shared" si="30"/>
        <v>#VALUE!</v>
      </c>
      <c r="E87" s="963" t="e">
        <f t="shared" si="31"/>
        <v>#VALUE!</v>
      </c>
      <c r="F87" s="963" t="e">
        <f t="shared" si="32"/>
        <v>#VALUE!</v>
      </c>
      <c r="G87" s="965" t="e">
        <f t="shared" si="33"/>
        <v>#VALUE!</v>
      </c>
      <c r="H87" s="965" t="e">
        <f t="shared" si="34"/>
        <v>#VALUE!</v>
      </c>
      <c r="M87" s="968">
        <v>30</v>
      </c>
      <c r="N87" s="985"/>
      <c r="O87" s="986"/>
      <c r="P87" s="986"/>
      <c r="Q87" s="986"/>
      <c r="R87" s="986"/>
      <c r="S87" s="986"/>
      <c r="T87" s="986"/>
    </row>
    <row r="88" spans="1:20">
      <c r="A88" s="965" t="e">
        <f>A87+31</f>
        <v>#VALUE!</v>
      </c>
      <c r="C88" s="971" t="e">
        <f t="shared" si="29"/>
        <v>#VALUE!</v>
      </c>
      <c r="D88" s="968" t="e">
        <f t="shared" si="30"/>
        <v>#VALUE!</v>
      </c>
      <c r="E88" s="963" t="e">
        <f t="shared" si="31"/>
        <v>#VALUE!</v>
      </c>
      <c r="F88" s="963" t="e">
        <f t="shared" si="32"/>
        <v>#VALUE!</v>
      </c>
      <c r="G88" s="965" t="e">
        <f t="shared" si="33"/>
        <v>#VALUE!</v>
      </c>
      <c r="H88" s="965" t="e">
        <f t="shared" si="34"/>
        <v>#VALUE!</v>
      </c>
      <c r="M88" s="968">
        <v>31</v>
      </c>
      <c r="N88" s="985"/>
      <c r="O88" s="986"/>
      <c r="P88" s="986"/>
      <c r="Q88" s="986"/>
      <c r="R88" s="986"/>
      <c r="S88" s="986"/>
      <c r="T88" s="986"/>
    </row>
    <row r="89" spans="1:20">
      <c r="A89" s="965" t="e">
        <f>A88+30</f>
        <v>#VALUE!</v>
      </c>
      <c r="C89" s="971" t="e">
        <f t="shared" si="29"/>
        <v>#VALUE!</v>
      </c>
      <c r="D89" s="968" t="e">
        <f t="shared" si="30"/>
        <v>#VALUE!</v>
      </c>
      <c r="E89" s="963" t="e">
        <f t="shared" si="31"/>
        <v>#VALUE!</v>
      </c>
      <c r="F89" s="963" t="e">
        <f t="shared" si="32"/>
        <v>#VALUE!</v>
      </c>
      <c r="G89" s="965" t="e">
        <f t="shared" si="33"/>
        <v>#VALUE!</v>
      </c>
      <c r="H89" s="965" t="e">
        <f t="shared" si="34"/>
        <v>#VALUE!</v>
      </c>
      <c r="M89" s="968">
        <v>32</v>
      </c>
      <c r="N89" s="985"/>
      <c r="O89" s="986"/>
      <c r="P89" s="986"/>
      <c r="Q89" s="986"/>
      <c r="R89" s="986"/>
      <c r="S89" s="986"/>
      <c r="T89" s="986"/>
    </row>
    <row r="90" spans="1:20">
      <c r="A90" s="965" t="e">
        <f>A89+31</f>
        <v>#VALUE!</v>
      </c>
      <c r="C90" s="971" t="e">
        <f t="shared" si="29"/>
        <v>#VALUE!</v>
      </c>
      <c r="D90" s="968" t="e">
        <f t="shared" si="30"/>
        <v>#VALUE!</v>
      </c>
      <c r="E90" s="963" t="e">
        <f t="shared" si="31"/>
        <v>#VALUE!</v>
      </c>
      <c r="F90" s="963" t="e">
        <f t="shared" si="32"/>
        <v>#VALUE!</v>
      </c>
      <c r="G90" s="965" t="e">
        <f t="shared" si="33"/>
        <v>#VALUE!</v>
      </c>
      <c r="H90" s="965" t="e">
        <f t="shared" si="34"/>
        <v>#VALUE!</v>
      </c>
      <c r="M90" s="968">
        <v>33</v>
      </c>
      <c r="N90" s="985"/>
      <c r="O90" s="986"/>
      <c r="P90" s="986"/>
      <c r="Q90" s="986"/>
      <c r="R90" s="986"/>
      <c r="S90" s="986"/>
      <c r="T90" s="986"/>
    </row>
    <row r="91" spans="1:20">
      <c r="A91" s="965" t="e">
        <f>A90+30</f>
        <v>#VALUE!</v>
      </c>
      <c r="C91" s="971" t="e">
        <f t="shared" si="29"/>
        <v>#VALUE!</v>
      </c>
      <c r="D91" s="968" t="e">
        <f t="shared" si="30"/>
        <v>#VALUE!</v>
      </c>
      <c r="E91" s="963" t="e">
        <f t="shared" si="31"/>
        <v>#VALUE!</v>
      </c>
      <c r="F91" s="963" t="e">
        <f t="shared" si="32"/>
        <v>#VALUE!</v>
      </c>
      <c r="G91" s="965" t="e">
        <f t="shared" si="33"/>
        <v>#VALUE!</v>
      </c>
      <c r="H91" s="965" t="e">
        <f t="shared" si="34"/>
        <v>#VALUE!</v>
      </c>
      <c r="M91" s="968">
        <v>34</v>
      </c>
      <c r="N91" s="985"/>
      <c r="O91" s="986"/>
      <c r="P91" s="986"/>
      <c r="Q91" s="986"/>
      <c r="R91" s="986"/>
      <c r="S91" s="986"/>
      <c r="T91" s="986"/>
    </row>
    <row r="92" spans="1:20">
      <c r="A92" s="965" t="e">
        <f>A91+31</f>
        <v>#VALUE!</v>
      </c>
      <c r="C92" s="971" t="e">
        <f t="shared" si="29"/>
        <v>#VALUE!</v>
      </c>
      <c r="D92" s="968" t="e">
        <f t="shared" si="30"/>
        <v>#VALUE!</v>
      </c>
      <c r="E92" s="963" t="e">
        <f t="shared" si="31"/>
        <v>#VALUE!</v>
      </c>
      <c r="F92" s="963" t="e">
        <f t="shared" si="32"/>
        <v>#VALUE!</v>
      </c>
      <c r="G92" s="965" t="e">
        <f t="shared" si="33"/>
        <v>#VALUE!</v>
      </c>
      <c r="H92" s="965" t="e">
        <f t="shared" si="34"/>
        <v>#VALUE!</v>
      </c>
      <c r="M92" s="968">
        <v>35</v>
      </c>
      <c r="N92" s="985"/>
      <c r="O92" s="986"/>
      <c r="P92" s="986"/>
      <c r="Q92" s="986"/>
      <c r="R92" s="986"/>
      <c r="S92" s="986"/>
      <c r="T92" s="986"/>
    </row>
    <row r="93" spans="1:20">
      <c r="A93" s="965" t="e">
        <f>A92+31</f>
        <v>#VALUE!</v>
      </c>
      <c r="B93" s="963" t="b">
        <f>ISNA(VLOOKUP(A93,$E$4:$E$13,1,FALSE))</f>
        <v>0</v>
      </c>
      <c r="C93" s="971" t="e">
        <f t="shared" si="29"/>
        <v>#VALUE!</v>
      </c>
      <c r="D93" s="968" t="e">
        <f t="shared" si="30"/>
        <v>#VALUE!</v>
      </c>
      <c r="E93" s="963" t="e">
        <f t="shared" si="31"/>
        <v>#VALUE!</v>
      </c>
      <c r="F93" s="963" t="e">
        <f t="shared" si="32"/>
        <v>#VALUE!</v>
      </c>
      <c r="G93" s="965" t="e">
        <f t="shared" si="33"/>
        <v>#VALUE!</v>
      </c>
      <c r="H93" s="965" t="e">
        <f t="shared" si="34"/>
        <v>#VALUE!</v>
      </c>
      <c r="M93" s="968">
        <v>36</v>
      </c>
      <c r="N93" s="985"/>
      <c r="O93" s="986"/>
      <c r="P93" s="986"/>
      <c r="Q93" s="986"/>
      <c r="R93" s="986"/>
      <c r="S93" s="986"/>
      <c r="T93" s="986"/>
    </row>
    <row r="94" spans="1:20">
      <c r="A94" s="965" t="e">
        <f>IF(B93=TRUE,(A93+28),(A93+29))</f>
        <v>#VALUE!</v>
      </c>
      <c r="C94" s="971" t="e">
        <f t="shared" si="29"/>
        <v>#VALUE!</v>
      </c>
      <c r="D94" s="968" t="e">
        <f t="shared" si="30"/>
        <v>#VALUE!</v>
      </c>
      <c r="E94" s="963" t="e">
        <f t="shared" si="31"/>
        <v>#VALUE!</v>
      </c>
      <c r="F94" s="963" t="e">
        <f t="shared" si="32"/>
        <v>#VALUE!</v>
      </c>
      <c r="G94" s="965" t="e">
        <f t="shared" si="33"/>
        <v>#VALUE!</v>
      </c>
      <c r="H94" s="965" t="e">
        <f t="shared" si="34"/>
        <v>#VALUE!</v>
      </c>
      <c r="M94" s="968">
        <v>37</v>
      </c>
      <c r="N94" s="985"/>
      <c r="O94" s="986"/>
      <c r="P94" s="986"/>
      <c r="Q94" s="986"/>
      <c r="R94" s="986"/>
      <c r="S94" s="986"/>
      <c r="T94" s="986"/>
    </row>
    <row r="95" spans="1:20">
      <c r="A95" s="965" t="e">
        <f>A94+31</f>
        <v>#VALUE!</v>
      </c>
      <c r="C95" s="971" t="e">
        <f t="shared" si="29"/>
        <v>#VALUE!</v>
      </c>
      <c r="D95" s="968" t="e">
        <f t="shared" si="30"/>
        <v>#VALUE!</v>
      </c>
      <c r="E95" s="963" t="e">
        <f t="shared" si="31"/>
        <v>#VALUE!</v>
      </c>
      <c r="F95" s="963" t="e">
        <f t="shared" si="32"/>
        <v>#VALUE!</v>
      </c>
      <c r="G95" s="965" t="e">
        <f t="shared" si="33"/>
        <v>#VALUE!</v>
      </c>
      <c r="H95" s="965" t="e">
        <f t="shared" si="34"/>
        <v>#VALUE!</v>
      </c>
      <c r="M95" s="968">
        <v>38</v>
      </c>
      <c r="N95" s="985"/>
      <c r="O95" s="986"/>
      <c r="P95" s="986"/>
      <c r="Q95" s="986"/>
      <c r="R95" s="986"/>
      <c r="S95" s="986"/>
      <c r="T95" s="986"/>
    </row>
    <row r="96" spans="1:20">
      <c r="A96" s="965" t="e">
        <f>A95+30</f>
        <v>#VALUE!</v>
      </c>
      <c r="C96" s="971" t="e">
        <f t="shared" si="29"/>
        <v>#VALUE!</v>
      </c>
      <c r="D96" s="968" t="e">
        <f t="shared" si="30"/>
        <v>#VALUE!</v>
      </c>
      <c r="E96" s="963" t="e">
        <f t="shared" si="31"/>
        <v>#VALUE!</v>
      </c>
      <c r="F96" s="963" t="e">
        <f t="shared" si="32"/>
        <v>#VALUE!</v>
      </c>
      <c r="G96" s="965" t="e">
        <f t="shared" si="33"/>
        <v>#VALUE!</v>
      </c>
      <c r="H96" s="965" t="e">
        <f t="shared" si="34"/>
        <v>#VALUE!</v>
      </c>
      <c r="M96" s="968">
        <v>39</v>
      </c>
      <c r="N96" s="985"/>
      <c r="O96" s="986"/>
      <c r="P96" s="986"/>
      <c r="Q96" s="986"/>
      <c r="R96" s="986"/>
      <c r="S96" s="986"/>
      <c r="T96" s="986"/>
    </row>
    <row r="97" spans="1:20">
      <c r="A97" s="965" t="e">
        <f>A96+31</f>
        <v>#VALUE!</v>
      </c>
      <c r="C97" s="971" t="e">
        <f t="shared" si="29"/>
        <v>#VALUE!</v>
      </c>
      <c r="D97" s="968" t="e">
        <f t="shared" si="30"/>
        <v>#VALUE!</v>
      </c>
      <c r="E97" s="963" t="e">
        <f t="shared" si="31"/>
        <v>#VALUE!</v>
      </c>
      <c r="F97" s="963" t="e">
        <f t="shared" si="32"/>
        <v>#VALUE!</v>
      </c>
      <c r="G97" s="965" t="e">
        <f t="shared" si="33"/>
        <v>#VALUE!</v>
      </c>
      <c r="H97" s="965" t="e">
        <f t="shared" si="34"/>
        <v>#VALUE!</v>
      </c>
      <c r="M97" s="968">
        <v>40</v>
      </c>
      <c r="N97" s="985"/>
      <c r="O97" s="986"/>
      <c r="P97" s="986"/>
      <c r="Q97" s="986"/>
      <c r="R97" s="986"/>
      <c r="S97" s="986"/>
      <c r="T97" s="986"/>
    </row>
    <row r="98" spans="1:20">
      <c r="A98" s="965" t="e">
        <f>A97+30</f>
        <v>#VALUE!</v>
      </c>
      <c r="C98" s="971" t="e">
        <f t="shared" si="29"/>
        <v>#VALUE!</v>
      </c>
      <c r="D98" s="968" t="e">
        <f t="shared" si="30"/>
        <v>#VALUE!</v>
      </c>
      <c r="E98" s="963" t="e">
        <f t="shared" si="31"/>
        <v>#VALUE!</v>
      </c>
      <c r="F98" s="963" t="e">
        <f t="shared" si="32"/>
        <v>#VALUE!</v>
      </c>
      <c r="G98" s="965" t="e">
        <f t="shared" si="33"/>
        <v>#VALUE!</v>
      </c>
      <c r="H98" s="965" t="e">
        <f t="shared" si="34"/>
        <v>#VALUE!</v>
      </c>
      <c r="M98" s="968">
        <v>41</v>
      </c>
      <c r="N98" s="985"/>
      <c r="O98" s="986"/>
      <c r="P98" s="986"/>
      <c r="Q98" s="986"/>
      <c r="R98" s="986"/>
      <c r="S98" s="986"/>
      <c r="T98" s="986"/>
    </row>
    <row r="99" spans="1:20">
      <c r="A99" s="965" t="e">
        <f>A98+31</f>
        <v>#VALUE!</v>
      </c>
      <c r="C99" s="971" t="e">
        <f t="shared" si="29"/>
        <v>#VALUE!</v>
      </c>
      <c r="D99" s="968" t="e">
        <f t="shared" si="30"/>
        <v>#VALUE!</v>
      </c>
      <c r="E99" s="963" t="e">
        <f t="shared" si="31"/>
        <v>#VALUE!</v>
      </c>
      <c r="F99" s="963" t="e">
        <f t="shared" si="32"/>
        <v>#VALUE!</v>
      </c>
      <c r="G99" s="965" t="e">
        <f t="shared" si="33"/>
        <v>#VALUE!</v>
      </c>
      <c r="H99" s="965" t="e">
        <f t="shared" si="34"/>
        <v>#VALUE!</v>
      </c>
      <c r="M99" s="968">
        <v>42</v>
      </c>
      <c r="N99" s="985"/>
      <c r="O99" s="986"/>
      <c r="P99" s="986"/>
      <c r="Q99" s="986"/>
      <c r="R99" s="986"/>
      <c r="S99" s="986"/>
      <c r="T99" s="986"/>
    </row>
    <row r="100" spans="1:20">
      <c r="A100" s="965" t="e">
        <f>A99+31</f>
        <v>#VALUE!</v>
      </c>
      <c r="C100" s="971" t="e">
        <f t="shared" si="29"/>
        <v>#VALUE!</v>
      </c>
      <c r="D100" s="968" t="e">
        <f t="shared" si="30"/>
        <v>#VALUE!</v>
      </c>
      <c r="E100" s="963" t="e">
        <f t="shared" si="31"/>
        <v>#VALUE!</v>
      </c>
      <c r="F100" s="963" t="e">
        <f t="shared" si="32"/>
        <v>#VALUE!</v>
      </c>
      <c r="G100" s="965" t="e">
        <f t="shared" si="33"/>
        <v>#VALUE!</v>
      </c>
      <c r="H100" s="965" t="e">
        <f t="shared" si="34"/>
        <v>#VALUE!</v>
      </c>
      <c r="M100" s="968">
        <v>43</v>
      </c>
      <c r="N100" s="985"/>
      <c r="O100" s="986"/>
      <c r="P100" s="986"/>
      <c r="Q100" s="986"/>
      <c r="R100" s="986"/>
      <c r="S100" s="986"/>
      <c r="T100" s="986"/>
    </row>
    <row r="101" spans="1:20">
      <c r="A101" s="965" t="e">
        <f>A100+30</f>
        <v>#VALUE!</v>
      </c>
      <c r="C101" s="971" t="e">
        <f t="shared" si="29"/>
        <v>#VALUE!</v>
      </c>
      <c r="D101" s="968" t="e">
        <f t="shared" si="30"/>
        <v>#VALUE!</v>
      </c>
      <c r="E101" s="963" t="e">
        <f t="shared" si="31"/>
        <v>#VALUE!</v>
      </c>
      <c r="F101" s="963" t="e">
        <f t="shared" si="32"/>
        <v>#VALUE!</v>
      </c>
      <c r="G101" s="965" t="e">
        <f t="shared" si="33"/>
        <v>#VALUE!</v>
      </c>
      <c r="H101" s="965" t="e">
        <f t="shared" si="34"/>
        <v>#VALUE!</v>
      </c>
      <c r="M101" s="968">
        <v>44</v>
      </c>
      <c r="N101" s="985"/>
      <c r="O101" s="986"/>
      <c r="P101" s="986"/>
      <c r="Q101" s="986"/>
      <c r="R101" s="986"/>
      <c r="S101" s="986"/>
      <c r="T101" s="986"/>
    </row>
    <row r="102" spans="1:20">
      <c r="A102" s="965" t="e">
        <f>A101+31</f>
        <v>#VALUE!</v>
      </c>
      <c r="C102" s="971" t="e">
        <f t="shared" si="29"/>
        <v>#VALUE!</v>
      </c>
      <c r="D102" s="968" t="e">
        <f t="shared" si="30"/>
        <v>#VALUE!</v>
      </c>
      <c r="E102" s="963" t="e">
        <f t="shared" si="31"/>
        <v>#VALUE!</v>
      </c>
      <c r="F102" s="963" t="e">
        <f t="shared" si="32"/>
        <v>#VALUE!</v>
      </c>
      <c r="G102" s="965" t="e">
        <f t="shared" si="33"/>
        <v>#VALUE!</v>
      </c>
      <c r="H102" s="965" t="e">
        <f t="shared" si="34"/>
        <v>#VALUE!</v>
      </c>
      <c r="M102" s="968">
        <v>45</v>
      </c>
      <c r="N102" s="985"/>
      <c r="O102" s="986"/>
      <c r="P102" s="986"/>
      <c r="Q102" s="986"/>
      <c r="R102" s="986"/>
      <c r="S102" s="986"/>
      <c r="T102" s="986"/>
    </row>
    <row r="103" spans="1:20">
      <c r="A103" s="965" t="e">
        <f>A102+30</f>
        <v>#VALUE!</v>
      </c>
      <c r="C103" s="971" t="e">
        <f t="shared" si="29"/>
        <v>#VALUE!</v>
      </c>
      <c r="D103" s="968" t="e">
        <f t="shared" si="30"/>
        <v>#VALUE!</v>
      </c>
      <c r="E103" s="963" t="e">
        <f t="shared" si="31"/>
        <v>#VALUE!</v>
      </c>
      <c r="F103" s="963" t="e">
        <f t="shared" si="32"/>
        <v>#VALUE!</v>
      </c>
      <c r="G103" s="965" t="e">
        <f t="shared" si="33"/>
        <v>#VALUE!</v>
      </c>
      <c r="H103" s="965" t="e">
        <f t="shared" si="34"/>
        <v>#VALUE!</v>
      </c>
      <c r="M103" s="968">
        <v>46</v>
      </c>
      <c r="N103" s="985"/>
      <c r="O103" s="986"/>
      <c r="P103" s="986"/>
      <c r="Q103" s="986"/>
      <c r="R103" s="986"/>
      <c r="S103" s="986"/>
      <c r="T103" s="986"/>
    </row>
    <row r="104" spans="1:20">
      <c r="A104" s="965" t="e">
        <f>A103+31</f>
        <v>#VALUE!</v>
      </c>
      <c r="C104" s="971" t="e">
        <f t="shared" si="29"/>
        <v>#VALUE!</v>
      </c>
      <c r="D104" s="968" t="e">
        <f t="shared" si="30"/>
        <v>#VALUE!</v>
      </c>
      <c r="E104" s="963" t="e">
        <f t="shared" si="31"/>
        <v>#VALUE!</v>
      </c>
      <c r="F104" s="963" t="e">
        <f t="shared" si="32"/>
        <v>#VALUE!</v>
      </c>
      <c r="G104" s="965" t="e">
        <f t="shared" si="33"/>
        <v>#VALUE!</v>
      </c>
      <c r="H104" s="965" t="e">
        <f t="shared" si="34"/>
        <v>#VALUE!</v>
      </c>
      <c r="M104" s="968">
        <v>47</v>
      </c>
      <c r="N104" s="985"/>
      <c r="O104" s="986"/>
      <c r="P104" s="986"/>
      <c r="Q104" s="986"/>
      <c r="R104" s="986"/>
      <c r="S104" s="986"/>
      <c r="T104" s="986"/>
    </row>
    <row r="105" spans="1:20">
      <c r="A105" s="965" t="e">
        <f>A104+31</f>
        <v>#VALUE!</v>
      </c>
      <c r="B105" s="963" t="b">
        <f>ISNA(VLOOKUP(A105,$E$4:$E$13,1,FALSE))</f>
        <v>0</v>
      </c>
      <c r="C105" s="971" t="e">
        <f t="shared" si="29"/>
        <v>#VALUE!</v>
      </c>
      <c r="D105" s="968" t="e">
        <f t="shared" si="30"/>
        <v>#VALUE!</v>
      </c>
      <c r="E105" s="963" t="e">
        <f t="shared" si="31"/>
        <v>#VALUE!</v>
      </c>
      <c r="F105" s="963" t="e">
        <f t="shared" si="32"/>
        <v>#VALUE!</v>
      </c>
      <c r="G105" s="965" t="e">
        <f t="shared" si="33"/>
        <v>#VALUE!</v>
      </c>
      <c r="H105" s="965" t="e">
        <f t="shared" si="34"/>
        <v>#VALUE!</v>
      </c>
      <c r="M105" s="968">
        <v>48</v>
      </c>
      <c r="N105" s="985"/>
      <c r="O105" s="986"/>
      <c r="P105" s="986"/>
      <c r="Q105" s="986"/>
      <c r="R105" s="986"/>
      <c r="S105" s="986"/>
      <c r="T105" s="986"/>
    </row>
    <row r="106" spans="1:20">
      <c r="A106" s="965" t="e">
        <f>IF(B105=TRUE,(A105+28),(A105+29))</f>
        <v>#VALUE!</v>
      </c>
      <c r="C106" s="971" t="e">
        <f t="shared" si="29"/>
        <v>#VALUE!</v>
      </c>
      <c r="D106" s="968" t="e">
        <f t="shared" si="30"/>
        <v>#VALUE!</v>
      </c>
      <c r="E106" s="963" t="e">
        <f t="shared" si="31"/>
        <v>#VALUE!</v>
      </c>
      <c r="F106" s="963" t="e">
        <f t="shared" si="32"/>
        <v>#VALUE!</v>
      </c>
      <c r="G106" s="965" t="e">
        <f t="shared" si="33"/>
        <v>#VALUE!</v>
      </c>
      <c r="H106" s="965" t="e">
        <f t="shared" si="34"/>
        <v>#VALUE!</v>
      </c>
      <c r="M106" s="968">
        <v>49</v>
      </c>
      <c r="N106" s="985"/>
      <c r="O106" s="986"/>
      <c r="P106" s="986"/>
      <c r="Q106" s="986"/>
      <c r="R106" s="986"/>
      <c r="S106" s="986"/>
      <c r="T106" s="986"/>
    </row>
    <row r="107" spans="1:20">
      <c r="A107" s="965" t="e">
        <f>A106+31</f>
        <v>#VALUE!</v>
      </c>
      <c r="C107" s="971" t="e">
        <f t="shared" si="29"/>
        <v>#VALUE!</v>
      </c>
      <c r="D107" s="968" t="e">
        <f t="shared" si="30"/>
        <v>#VALUE!</v>
      </c>
      <c r="E107" s="963" t="e">
        <f t="shared" si="31"/>
        <v>#VALUE!</v>
      </c>
      <c r="F107" s="963" t="e">
        <f t="shared" si="32"/>
        <v>#VALUE!</v>
      </c>
      <c r="G107" s="965" t="e">
        <f t="shared" si="33"/>
        <v>#VALUE!</v>
      </c>
      <c r="H107" s="965" t="e">
        <f t="shared" si="34"/>
        <v>#VALUE!</v>
      </c>
      <c r="M107" s="968">
        <v>50</v>
      </c>
      <c r="N107" s="985"/>
      <c r="O107" s="986"/>
      <c r="P107" s="986"/>
      <c r="Q107" s="986"/>
      <c r="R107" s="986"/>
      <c r="S107" s="986"/>
      <c r="T107" s="986"/>
    </row>
    <row r="108" spans="1:20">
      <c r="A108" s="965" t="e">
        <f>A107+30</f>
        <v>#VALUE!</v>
      </c>
      <c r="C108" s="971" t="e">
        <f t="shared" si="29"/>
        <v>#VALUE!</v>
      </c>
      <c r="D108" s="968" t="e">
        <f t="shared" si="30"/>
        <v>#VALUE!</v>
      </c>
      <c r="E108" s="963" t="e">
        <f t="shared" si="31"/>
        <v>#VALUE!</v>
      </c>
      <c r="F108" s="963" t="e">
        <f t="shared" si="32"/>
        <v>#VALUE!</v>
      </c>
      <c r="G108" s="965" t="e">
        <f t="shared" si="33"/>
        <v>#VALUE!</v>
      </c>
      <c r="H108" s="965" t="e">
        <f t="shared" si="34"/>
        <v>#VALUE!</v>
      </c>
      <c r="M108" s="968">
        <v>51</v>
      </c>
      <c r="N108" s="985"/>
      <c r="O108" s="986"/>
      <c r="P108" s="986"/>
      <c r="Q108" s="986"/>
      <c r="R108" s="986"/>
      <c r="S108" s="986"/>
      <c r="T108" s="986"/>
    </row>
    <row r="109" spans="1:20">
      <c r="A109" s="965" t="e">
        <f>A108+31</f>
        <v>#VALUE!</v>
      </c>
      <c r="C109" s="971" t="e">
        <f t="shared" si="29"/>
        <v>#VALUE!</v>
      </c>
      <c r="D109" s="968" t="e">
        <f t="shared" si="30"/>
        <v>#VALUE!</v>
      </c>
      <c r="E109" s="963" t="e">
        <f t="shared" si="31"/>
        <v>#VALUE!</v>
      </c>
      <c r="F109" s="963" t="e">
        <f t="shared" si="32"/>
        <v>#VALUE!</v>
      </c>
      <c r="G109" s="965" t="e">
        <f t="shared" si="33"/>
        <v>#VALUE!</v>
      </c>
      <c r="H109" s="965" t="e">
        <f t="shared" si="34"/>
        <v>#VALUE!</v>
      </c>
      <c r="M109" s="968">
        <v>52</v>
      </c>
      <c r="N109" s="985"/>
      <c r="O109" s="986"/>
      <c r="P109" s="986"/>
      <c r="Q109" s="986"/>
      <c r="R109" s="986"/>
      <c r="S109" s="986"/>
      <c r="T109" s="986"/>
    </row>
    <row r="110" spans="1:20">
      <c r="A110" s="965" t="e">
        <f>A109+30</f>
        <v>#VALUE!</v>
      </c>
      <c r="C110" s="971" t="e">
        <f t="shared" si="29"/>
        <v>#VALUE!</v>
      </c>
      <c r="D110" s="968" t="e">
        <f t="shared" si="30"/>
        <v>#VALUE!</v>
      </c>
      <c r="E110" s="963" t="e">
        <f t="shared" si="31"/>
        <v>#VALUE!</v>
      </c>
      <c r="F110" s="963" t="e">
        <f t="shared" si="32"/>
        <v>#VALUE!</v>
      </c>
      <c r="G110" s="965" t="e">
        <f t="shared" si="33"/>
        <v>#VALUE!</v>
      </c>
      <c r="H110" s="965" t="e">
        <f t="shared" si="34"/>
        <v>#VALUE!</v>
      </c>
      <c r="M110" s="968">
        <v>53</v>
      </c>
      <c r="N110" s="985"/>
      <c r="O110" s="986"/>
      <c r="P110" s="986"/>
      <c r="Q110" s="986"/>
      <c r="R110" s="986"/>
      <c r="S110" s="986"/>
      <c r="T110" s="986"/>
    </row>
    <row r="111" spans="1:20">
      <c r="A111" s="965" t="e">
        <f>A110+31</f>
        <v>#VALUE!</v>
      </c>
      <c r="C111" s="971" t="e">
        <f t="shared" si="29"/>
        <v>#VALUE!</v>
      </c>
      <c r="D111" s="968" t="e">
        <f t="shared" si="30"/>
        <v>#VALUE!</v>
      </c>
      <c r="E111" s="963" t="e">
        <f t="shared" si="31"/>
        <v>#VALUE!</v>
      </c>
      <c r="F111" s="963" t="e">
        <f t="shared" si="32"/>
        <v>#VALUE!</v>
      </c>
      <c r="G111" s="965" t="e">
        <f t="shared" si="33"/>
        <v>#VALUE!</v>
      </c>
      <c r="H111" s="965" t="e">
        <f t="shared" si="34"/>
        <v>#VALUE!</v>
      </c>
      <c r="M111" s="968">
        <v>54</v>
      </c>
      <c r="N111" s="985"/>
      <c r="O111" s="986"/>
      <c r="P111" s="986"/>
      <c r="Q111" s="986"/>
      <c r="R111" s="986"/>
      <c r="S111" s="986"/>
      <c r="T111" s="986"/>
    </row>
    <row r="112" spans="1:20">
      <c r="A112" s="965" t="e">
        <f>A111+31</f>
        <v>#VALUE!</v>
      </c>
      <c r="C112" s="971" t="e">
        <f t="shared" si="29"/>
        <v>#VALUE!</v>
      </c>
      <c r="D112" s="968" t="e">
        <f t="shared" si="30"/>
        <v>#VALUE!</v>
      </c>
      <c r="E112" s="963" t="e">
        <f t="shared" si="31"/>
        <v>#VALUE!</v>
      </c>
      <c r="F112" s="963" t="e">
        <f t="shared" si="32"/>
        <v>#VALUE!</v>
      </c>
      <c r="G112" s="965" t="e">
        <f t="shared" si="33"/>
        <v>#VALUE!</v>
      </c>
      <c r="H112" s="965" t="e">
        <f t="shared" si="34"/>
        <v>#VALUE!</v>
      </c>
      <c r="M112" s="968">
        <v>55</v>
      </c>
      <c r="N112" s="985"/>
      <c r="O112" s="986"/>
      <c r="P112" s="986"/>
      <c r="Q112" s="986"/>
      <c r="R112" s="986"/>
      <c r="S112" s="986"/>
      <c r="T112" s="986"/>
    </row>
    <row r="113" spans="1:20">
      <c r="A113" s="965" t="e">
        <f>A112+30</f>
        <v>#VALUE!</v>
      </c>
      <c r="C113" s="971" t="e">
        <f t="shared" si="29"/>
        <v>#VALUE!</v>
      </c>
      <c r="D113" s="968" t="e">
        <f t="shared" si="30"/>
        <v>#VALUE!</v>
      </c>
      <c r="E113" s="963" t="e">
        <f t="shared" si="31"/>
        <v>#VALUE!</v>
      </c>
      <c r="F113" s="963" t="e">
        <f t="shared" si="32"/>
        <v>#VALUE!</v>
      </c>
      <c r="G113" s="965" t="e">
        <f t="shared" si="33"/>
        <v>#VALUE!</v>
      </c>
      <c r="H113" s="965" t="e">
        <f t="shared" si="34"/>
        <v>#VALUE!</v>
      </c>
      <c r="M113" s="968">
        <v>56</v>
      </c>
      <c r="N113" s="985"/>
      <c r="O113" s="986"/>
      <c r="P113" s="986"/>
      <c r="Q113" s="986"/>
      <c r="R113" s="986"/>
      <c r="S113" s="986"/>
      <c r="T113" s="986"/>
    </row>
    <row r="114" spans="1:20">
      <c r="A114" s="965" t="e">
        <f>A113+31</f>
        <v>#VALUE!</v>
      </c>
      <c r="C114" s="971" t="e">
        <f t="shared" si="29"/>
        <v>#VALUE!</v>
      </c>
      <c r="D114" s="968" t="e">
        <f t="shared" si="30"/>
        <v>#VALUE!</v>
      </c>
      <c r="E114" s="963" t="e">
        <f t="shared" si="31"/>
        <v>#VALUE!</v>
      </c>
      <c r="F114" s="963" t="e">
        <f t="shared" si="32"/>
        <v>#VALUE!</v>
      </c>
      <c r="G114" s="965" t="e">
        <f t="shared" si="33"/>
        <v>#VALUE!</v>
      </c>
      <c r="H114" s="965" t="e">
        <f t="shared" si="34"/>
        <v>#VALUE!</v>
      </c>
      <c r="M114" s="968">
        <v>57</v>
      </c>
      <c r="N114" s="985"/>
      <c r="O114" s="986"/>
      <c r="P114" s="986"/>
      <c r="Q114" s="986"/>
      <c r="R114" s="986"/>
      <c r="S114" s="986"/>
      <c r="T114" s="986"/>
    </row>
    <row r="115" spans="1:20">
      <c r="A115" s="965" t="e">
        <f>A114+30</f>
        <v>#VALUE!</v>
      </c>
      <c r="C115" s="971" t="e">
        <f t="shared" si="29"/>
        <v>#VALUE!</v>
      </c>
      <c r="D115" s="968" t="e">
        <f t="shared" si="30"/>
        <v>#VALUE!</v>
      </c>
      <c r="E115" s="963" t="e">
        <f t="shared" si="31"/>
        <v>#VALUE!</v>
      </c>
      <c r="F115" s="963" t="e">
        <f t="shared" si="32"/>
        <v>#VALUE!</v>
      </c>
      <c r="G115" s="965" t="e">
        <f t="shared" si="33"/>
        <v>#VALUE!</v>
      </c>
      <c r="H115" s="965" t="e">
        <f t="shared" si="34"/>
        <v>#VALUE!</v>
      </c>
      <c r="M115" s="968">
        <v>58</v>
      </c>
      <c r="N115" s="985"/>
      <c r="O115" s="986"/>
      <c r="P115" s="986"/>
      <c r="Q115" s="986"/>
      <c r="R115" s="986"/>
      <c r="S115" s="986"/>
      <c r="T115" s="986"/>
    </row>
    <row r="116" spans="1:20">
      <c r="A116" s="965" t="e">
        <f>A115+31</f>
        <v>#VALUE!</v>
      </c>
      <c r="C116" s="971" t="e">
        <f t="shared" si="29"/>
        <v>#VALUE!</v>
      </c>
      <c r="D116" s="968" t="e">
        <f t="shared" si="30"/>
        <v>#VALUE!</v>
      </c>
      <c r="E116" s="963" t="e">
        <f t="shared" si="31"/>
        <v>#VALUE!</v>
      </c>
      <c r="F116" s="963" t="e">
        <f t="shared" si="32"/>
        <v>#VALUE!</v>
      </c>
      <c r="G116" s="965" t="e">
        <f t="shared" si="33"/>
        <v>#VALUE!</v>
      </c>
      <c r="H116" s="965" t="e">
        <f t="shared" si="34"/>
        <v>#VALUE!</v>
      </c>
      <c r="M116" s="968">
        <v>59</v>
      </c>
      <c r="N116" s="985"/>
      <c r="O116" s="986"/>
      <c r="P116" s="986"/>
      <c r="Q116" s="986"/>
      <c r="R116" s="986"/>
      <c r="S116" s="986"/>
      <c r="T116" s="986"/>
    </row>
    <row r="117" spans="1:20">
      <c r="A117" s="965" t="e">
        <f>A116+31</f>
        <v>#VALUE!</v>
      </c>
      <c r="B117" s="963" t="b">
        <f>ISNA(VLOOKUP(A117,$E$4:$E$13,1,FALSE))</f>
        <v>0</v>
      </c>
      <c r="C117" s="971" t="e">
        <f t="shared" si="29"/>
        <v>#VALUE!</v>
      </c>
      <c r="D117" s="968" t="e">
        <f t="shared" si="30"/>
        <v>#VALUE!</v>
      </c>
      <c r="E117" s="963" t="e">
        <f t="shared" si="31"/>
        <v>#VALUE!</v>
      </c>
      <c r="F117" s="963" t="e">
        <f t="shared" si="32"/>
        <v>#VALUE!</v>
      </c>
      <c r="G117" s="965" t="e">
        <f t="shared" si="33"/>
        <v>#VALUE!</v>
      </c>
      <c r="H117" s="965" t="e">
        <f t="shared" si="34"/>
        <v>#VALUE!</v>
      </c>
      <c r="M117" s="968">
        <v>60</v>
      </c>
      <c r="N117" s="985"/>
      <c r="O117" s="986"/>
      <c r="P117" s="986"/>
      <c r="Q117" s="986"/>
      <c r="R117" s="986"/>
      <c r="S117" s="986"/>
      <c r="T117" s="986"/>
    </row>
    <row r="118" spans="1:20">
      <c r="A118" s="965" t="e">
        <f>IF(B117=TRUE,(A117+28),(A117+29))</f>
        <v>#VALUE!</v>
      </c>
      <c r="C118" s="971" t="e">
        <f t="shared" si="29"/>
        <v>#VALUE!</v>
      </c>
      <c r="D118" s="968" t="e">
        <f t="shared" si="30"/>
        <v>#VALUE!</v>
      </c>
      <c r="E118" s="963" t="e">
        <f t="shared" si="31"/>
        <v>#VALUE!</v>
      </c>
      <c r="F118" s="963" t="e">
        <f t="shared" si="32"/>
        <v>#VALUE!</v>
      </c>
      <c r="G118" s="965" t="e">
        <f t="shared" si="33"/>
        <v>#VALUE!</v>
      </c>
      <c r="H118" s="965" t="e">
        <f t="shared" si="34"/>
        <v>#VALUE!</v>
      </c>
      <c r="M118" s="968">
        <v>61</v>
      </c>
      <c r="N118" s="985"/>
      <c r="O118" s="986"/>
      <c r="P118" s="986"/>
      <c r="Q118" s="986"/>
      <c r="R118" s="986"/>
      <c r="S118" s="986"/>
      <c r="T118" s="986"/>
    </row>
    <row r="119" spans="1:20">
      <c r="A119" s="965" t="e">
        <f>A118+31</f>
        <v>#VALUE!</v>
      </c>
      <c r="C119" s="971" t="e">
        <f t="shared" si="29"/>
        <v>#VALUE!</v>
      </c>
      <c r="D119" s="968" t="e">
        <f t="shared" si="30"/>
        <v>#VALUE!</v>
      </c>
      <c r="E119" s="963" t="e">
        <f t="shared" si="31"/>
        <v>#VALUE!</v>
      </c>
      <c r="F119" s="963" t="e">
        <f t="shared" si="32"/>
        <v>#VALUE!</v>
      </c>
      <c r="G119" s="965" t="e">
        <f t="shared" si="33"/>
        <v>#VALUE!</v>
      </c>
      <c r="H119" s="965" t="e">
        <f t="shared" si="34"/>
        <v>#VALUE!</v>
      </c>
      <c r="M119" s="968">
        <v>62</v>
      </c>
      <c r="N119" s="985"/>
      <c r="O119" s="986"/>
      <c r="P119" s="986"/>
      <c r="Q119" s="986"/>
      <c r="R119" s="986"/>
      <c r="S119" s="986"/>
      <c r="T119" s="986"/>
    </row>
    <row r="120" spans="1:20">
      <c r="A120" s="965" t="e">
        <f>A119+30</f>
        <v>#VALUE!</v>
      </c>
      <c r="C120" s="971" t="e">
        <f t="shared" si="29"/>
        <v>#VALUE!</v>
      </c>
      <c r="D120" s="968" t="e">
        <f t="shared" si="30"/>
        <v>#VALUE!</v>
      </c>
      <c r="E120" s="963" t="e">
        <f t="shared" si="31"/>
        <v>#VALUE!</v>
      </c>
      <c r="F120" s="963" t="e">
        <f t="shared" si="32"/>
        <v>#VALUE!</v>
      </c>
      <c r="G120" s="965" t="e">
        <f t="shared" si="33"/>
        <v>#VALUE!</v>
      </c>
      <c r="H120" s="965" t="e">
        <f t="shared" si="34"/>
        <v>#VALUE!</v>
      </c>
      <c r="M120" s="968">
        <v>63</v>
      </c>
      <c r="N120" s="985"/>
      <c r="O120" s="986"/>
      <c r="P120" s="986"/>
      <c r="Q120" s="986"/>
      <c r="R120" s="986"/>
      <c r="S120" s="986"/>
      <c r="T120" s="986"/>
    </row>
    <row r="121" spans="1:20">
      <c r="A121" s="965" t="e">
        <f>A120+31</f>
        <v>#VALUE!</v>
      </c>
      <c r="C121" s="971" t="e">
        <f t="shared" si="29"/>
        <v>#VALUE!</v>
      </c>
      <c r="D121" s="968" t="e">
        <f t="shared" si="30"/>
        <v>#VALUE!</v>
      </c>
      <c r="E121" s="963" t="e">
        <f t="shared" si="31"/>
        <v>#VALUE!</v>
      </c>
      <c r="F121" s="963" t="e">
        <f t="shared" si="32"/>
        <v>#VALUE!</v>
      </c>
      <c r="G121" s="965" t="e">
        <f t="shared" si="33"/>
        <v>#VALUE!</v>
      </c>
      <c r="H121" s="965" t="e">
        <f t="shared" si="34"/>
        <v>#VALUE!</v>
      </c>
      <c r="M121" s="968">
        <v>64</v>
      </c>
      <c r="N121" s="985"/>
      <c r="O121" s="986"/>
      <c r="P121" s="986"/>
      <c r="Q121" s="986"/>
      <c r="R121" s="986"/>
      <c r="S121" s="986"/>
      <c r="T121" s="986"/>
    </row>
    <row r="122" spans="1:20">
      <c r="A122" s="965" t="e">
        <f>A121+30</f>
        <v>#VALUE!</v>
      </c>
      <c r="C122" s="971" t="e">
        <f t="shared" si="29"/>
        <v>#VALUE!</v>
      </c>
      <c r="D122" s="968" t="e">
        <f t="shared" si="30"/>
        <v>#VALUE!</v>
      </c>
      <c r="E122" s="963" t="e">
        <f t="shared" si="31"/>
        <v>#VALUE!</v>
      </c>
      <c r="F122" s="963" t="e">
        <f t="shared" si="32"/>
        <v>#VALUE!</v>
      </c>
      <c r="G122" s="965" t="e">
        <f t="shared" si="33"/>
        <v>#VALUE!</v>
      </c>
      <c r="H122" s="965" t="e">
        <f t="shared" si="34"/>
        <v>#VALUE!</v>
      </c>
      <c r="M122" s="968">
        <v>65</v>
      </c>
      <c r="N122" s="985"/>
      <c r="O122" s="986"/>
      <c r="P122" s="986"/>
      <c r="Q122" s="986"/>
      <c r="R122" s="986"/>
      <c r="S122" s="986"/>
      <c r="T122" s="986"/>
    </row>
    <row r="123" spans="1:20">
      <c r="A123" s="965" t="e">
        <f>A122+31</f>
        <v>#VALUE!</v>
      </c>
      <c r="C123" s="971" t="e">
        <f t="shared" si="29"/>
        <v>#VALUE!</v>
      </c>
      <c r="D123" s="968" t="e">
        <f t="shared" si="30"/>
        <v>#VALUE!</v>
      </c>
      <c r="E123" s="963" t="e">
        <f t="shared" si="31"/>
        <v>#VALUE!</v>
      </c>
      <c r="F123" s="963" t="e">
        <f t="shared" si="32"/>
        <v>#VALUE!</v>
      </c>
      <c r="G123" s="965" t="e">
        <f t="shared" si="33"/>
        <v>#VALUE!</v>
      </c>
      <c r="H123" s="965" t="e">
        <f t="shared" si="34"/>
        <v>#VALUE!</v>
      </c>
      <c r="M123" s="968">
        <v>66</v>
      </c>
      <c r="N123" s="985"/>
      <c r="O123" s="986"/>
      <c r="P123" s="986"/>
      <c r="Q123" s="986"/>
      <c r="R123" s="986"/>
      <c r="S123" s="986"/>
      <c r="T123" s="986"/>
    </row>
    <row r="124" spans="1:20">
      <c r="A124" s="965" t="e">
        <f>A123+31</f>
        <v>#VALUE!</v>
      </c>
      <c r="C124" s="971" t="e">
        <f t="shared" si="29"/>
        <v>#VALUE!</v>
      </c>
      <c r="D124" s="968" t="e">
        <f t="shared" si="30"/>
        <v>#VALUE!</v>
      </c>
      <c r="E124" s="963" t="e">
        <f t="shared" si="31"/>
        <v>#VALUE!</v>
      </c>
      <c r="F124" s="963" t="e">
        <f t="shared" si="32"/>
        <v>#VALUE!</v>
      </c>
      <c r="G124" s="965" t="e">
        <f t="shared" si="33"/>
        <v>#VALUE!</v>
      </c>
      <c r="H124" s="965" t="e">
        <f t="shared" si="34"/>
        <v>#VALUE!</v>
      </c>
      <c r="M124" s="968">
        <v>67</v>
      </c>
      <c r="N124" s="985"/>
      <c r="O124" s="986"/>
      <c r="P124" s="986"/>
      <c r="Q124" s="986"/>
      <c r="R124" s="986"/>
      <c r="S124" s="986"/>
      <c r="T124" s="986"/>
    </row>
    <row r="125" spans="1:20">
      <c r="A125" s="965" t="e">
        <f>A124+30</f>
        <v>#VALUE!</v>
      </c>
      <c r="C125" s="971" t="e">
        <f t="shared" si="29"/>
        <v>#VALUE!</v>
      </c>
      <c r="D125" s="968" t="e">
        <f t="shared" si="30"/>
        <v>#VALUE!</v>
      </c>
      <c r="E125" s="963" t="e">
        <f t="shared" si="31"/>
        <v>#VALUE!</v>
      </c>
      <c r="F125" s="963" t="e">
        <f t="shared" si="32"/>
        <v>#VALUE!</v>
      </c>
      <c r="G125" s="965" t="e">
        <f t="shared" si="33"/>
        <v>#VALUE!</v>
      </c>
      <c r="H125" s="965" t="e">
        <f t="shared" si="34"/>
        <v>#VALUE!</v>
      </c>
      <c r="M125" s="968">
        <v>68</v>
      </c>
      <c r="N125" s="985"/>
      <c r="O125" s="986"/>
      <c r="P125" s="986"/>
      <c r="Q125" s="986"/>
      <c r="R125" s="986"/>
      <c r="S125" s="986"/>
      <c r="T125" s="986"/>
    </row>
    <row r="126" spans="1:20">
      <c r="A126" s="965" t="e">
        <f>A125+31</f>
        <v>#VALUE!</v>
      </c>
      <c r="C126" s="971" t="e">
        <f t="shared" si="29"/>
        <v>#VALUE!</v>
      </c>
      <c r="D126" s="968" t="e">
        <f t="shared" si="30"/>
        <v>#VALUE!</v>
      </c>
      <c r="E126" s="963" t="e">
        <f t="shared" si="31"/>
        <v>#VALUE!</v>
      </c>
      <c r="F126" s="963" t="e">
        <f t="shared" si="32"/>
        <v>#VALUE!</v>
      </c>
      <c r="G126" s="965" t="e">
        <f t="shared" si="33"/>
        <v>#VALUE!</v>
      </c>
      <c r="H126" s="965" t="e">
        <f t="shared" si="34"/>
        <v>#VALUE!</v>
      </c>
      <c r="M126" s="968">
        <v>69</v>
      </c>
      <c r="N126" s="985"/>
      <c r="O126" s="986"/>
      <c r="P126" s="986"/>
      <c r="Q126" s="986"/>
      <c r="R126" s="986"/>
      <c r="S126" s="986"/>
      <c r="T126" s="986"/>
    </row>
    <row r="127" spans="1:20">
      <c r="A127" s="965" t="e">
        <f>A126+30</f>
        <v>#VALUE!</v>
      </c>
      <c r="C127" s="971" t="e">
        <f t="shared" si="29"/>
        <v>#VALUE!</v>
      </c>
      <c r="D127" s="968" t="e">
        <f t="shared" si="30"/>
        <v>#VALUE!</v>
      </c>
      <c r="E127" s="963" t="e">
        <f t="shared" si="31"/>
        <v>#VALUE!</v>
      </c>
      <c r="F127" s="963" t="e">
        <f t="shared" si="32"/>
        <v>#VALUE!</v>
      </c>
      <c r="G127" s="965" t="e">
        <f t="shared" si="33"/>
        <v>#VALUE!</v>
      </c>
      <c r="H127" s="965" t="e">
        <f t="shared" si="34"/>
        <v>#VALUE!</v>
      </c>
      <c r="M127" s="968">
        <v>70</v>
      </c>
      <c r="N127" s="985"/>
      <c r="O127" s="986"/>
      <c r="P127" s="986"/>
      <c r="Q127" s="986"/>
      <c r="R127" s="986"/>
      <c r="S127" s="986"/>
      <c r="T127" s="986"/>
    </row>
    <row r="128" spans="1:20">
      <c r="A128" s="965" t="e">
        <f>A127+31</f>
        <v>#VALUE!</v>
      </c>
      <c r="C128" s="971" t="e">
        <f t="shared" si="29"/>
        <v>#VALUE!</v>
      </c>
      <c r="D128" s="968" t="e">
        <f t="shared" si="30"/>
        <v>#VALUE!</v>
      </c>
      <c r="E128" s="963" t="e">
        <f t="shared" si="31"/>
        <v>#VALUE!</v>
      </c>
      <c r="F128" s="963" t="e">
        <f t="shared" si="32"/>
        <v>#VALUE!</v>
      </c>
      <c r="G128" s="965" t="e">
        <f t="shared" si="33"/>
        <v>#VALUE!</v>
      </c>
      <c r="H128" s="965" t="e">
        <f t="shared" si="34"/>
        <v>#VALUE!</v>
      </c>
      <c r="M128" s="968">
        <v>71</v>
      </c>
      <c r="N128" s="985"/>
      <c r="O128" s="986"/>
      <c r="P128" s="986"/>
      <c r="Q128" s="986"/>
      <c r="R128" s="986"/>
      <c r="S128" s="986"/>
      <c r="T128" s="986"/>
    </row>
    <row r="129" spans="1:20">
      <c r="A129" s="965" t="e">
        <f>A128+31</f>
        <v>#VALUE!</v>
      </c>
      <c r="B129" s="963" t="b">
        <f>ISNA(VLOOKUP(A129,$E$4:$E$13,1,FALSE))</f>
        <v>0</v>
      </c>
      <c r="C129" s="971" t="e">
        <f t="shared" si="29"/>
        <v>#VALUE!</v>
      </c>
      <c r="D129" s="968" t="e">
        <f t="shared" si="30"/>
        <v>#VALUE!</v>
      </c>
      <c r="E129" s="963" t="e">
        <f t="shared" si="31"/>
        <v>#VALUE!</v>
      </c>
      <c r="F129" s="963" t="e">
        <f t="shared" si="32"/>
        <v>#VALUE!</v>
      </c>
      <c r="G129" s="965" t="e">
        <f t="shared" si="33"/>
        <v>#VALUE!</v>
      </c>
      <c r="H129" s="965" t="e">
        <f t="shared" si="34"/>
        <v>#VALUE!</v>
      </c>
      <c r="M129" s="968">
        <v>72</v>
      </c>
      <c r="N129" s="985"/>
      <c r="O129" s="986"/>
      <c r="P129" s="986"/>
      <c r="Q129" s="986"/>
      <c r="R129" s="986"/>
      <c r="S129" s="986"/>
      <c r="T129" s="986"/>
    </row>
    <row r="130" spans="1:20">
      <c r="A130" s="965" t="e">
        <f>IF(B129=TRUE,(A129+28),(A129+29))</f>
        <v>#VALUE!</v>
      </c>
      <c r="C130" s="971" t="e">
        <f t="shared" si="29"/>
        <v>#VALUE!</v>
      </c>
      <c r="D130" s="968" t="e">
        <f t="shared" si="30"/>
        <v>#VALUE!</v>
      </c>
      <c r="E130" s="963" t="e">
        <f t="shared" si="31"/>
        <v>#VALUE!</v>
      </c>
      <c r="F130" s="963" t="e">
        <f t="shared" si="32"/>
        <v>#VALUE!</v>
      </c>
      <c r="G130" s="965" t="e">
        <f t="shared" si="33"/>
        <v>#VALUE!</v>
      </c>
      <c r="H130" s="965" t="e">
        <f t="shared" si="34"/>
        <v>#VALUE!</v>
      </c>
      <c r="M130" s="968">
        <v>73</v>
      </c>
      <c r="N130" s="985"/>
      <c r="O130" s="986"/>
      <c r="P130" s="986"/>
      <c r="Q130" s="986"/>
      <c r="R130" s="986"/>
      <c r="S130" s="986"/>
      <c r="T130" s="986"/>
    </row>
    <row r="131" spans="1:20">
      <c r="A131" s="965" t="e">
        <f>A130+31</f>
        <v>#VALUE!</v>
      </c>
      <c r="C131" s="971" t="e">
        <f t="shared" si="29"/>
        <v>#VALUE!</v>
      </c>
      <c r="D131" s="968" t="e">
        <f t="shared" si="30"/>
        <v>#VALUE!</v>
      </c>
      <c r="E131" s="963" t="e">
        <f t="shared" si="31"/>
        <v>#VALUE!</v>
      </c>
      <c r="F131" s="963" t="e">
        <f t="shared" si="32"/>
        <v>#VALUE!</v>
      </c>
      <c r="G131" s="965" t="e">
        <f t="shared" si="33"/>
        <v>#VALUE!</v>
      </c>
      <c r="H131" s="965" t="e">
        <f t="shared" si="34"/>
        <v>#VALUE!</v>
      </c>
      <c r="M131" s="968">
        <v>74</v>
      </c>
      <c r="N131" s="985"/>
      <c r="O131" s="986"/>
      <c r="P131" s="986"/>
      <c r="Q131" s="986"/>
      <c r="R131" s="986"/>
      <c r="S131" s="986"/>
      <c r="T131" s="986"/>
    </row>
    <row r="132" spans="1:20">
      <c r="A132" s="965" t="e">
        <f>A131+30</f>
        <v>#VALUE!</v>
      </c>
      <c r="C132" s="971" t="e">
        <f t="shared" si="29"/>
        <v>#VALUE!</v>
      </c>
      <c r="D132" s="968" t="e">
        <f t="shared" si="30"/>
        <v>#VALUE!</v>
      </c>
      <c r="E132" s="963" t="e">
        <f t="shared" si="31"/>
        <v>#VALUE!</v>
      </c>
      <c r="F132" s="963" t="e">
        <f t="shared" si="32"/>
        <v>#VALUE!</v>
      </c>
      <c r="G132" s="965" t="e">
        <f t="shared" si="33"/>
        <v>#VALUE!</v>
      </c>
      <c r="H132" s="965" t="e">
        <f t="shared" si="34"/>
        <v>#VALUE!</v>
      </c>
      <c r="M132" s="968">
        <v>75</v>
      </c>
      <c r="N132" s="985"/>
      <c r="O132" s="986"/>
      <c r="P132" s="986"/>
      <c r="Q132" s="986"/>
      <c r="R132" s="986"/>
      <c r="S132" s="986"/>
      <c r="T132" s="986"/>
    </row>
    <row r="133" spans="1:20">
      <c r="A133" s="965" t="e">
        <f>A132+31</f>
        <v>#VALUE!</v>
      </c>
      <c r="C133" s="971" t="e">
        <f t="shared" si="29"/>
        <v>#VALUE!</v>
      </c>
      <c r="D133" s="968" t="e">
        <f t="shared" si="30"/>
        <v>#VALUE!</v>
      </c>
      <c r="E133" s="963" t="e">
        <f t="shared" si="31"/>
        <v>#VALUE!</v>
      </c>
      <c r="F133" s="963" t="e">
        <f t="shared" si="32"/>
        <v>#VALUE!</v>
      </c>
      <c r="G133" s="965" t="e">
        <f t="shared" si="33"/>
        <v>#VALUE!</v>
      </c>
      <c r="H133" s="965" t="e">
        <f t="shared" si="34"/>
        <v>#VALUE!</v>
      </c>
      <c r="M133" s="968">
        <v>76</v>
      </c>
      <c r="N133" s="985"/>
      <c r="O133" s="986"/>
      <c r="P133" s="986"/>
      <c r="Q133" s="986"/>
      <c r="R133" s="986"/>
      <c r="S133" s="986"/>
      <c r="T133" s="986"/>
    </row>
    <row r="134" spans="1:20">
      <c r="A134" s="965" t="e">
        <f>A133+30</f>
        <v>#VALUE!</v>
      </c>
      <c r="C134" s="971" t="e">
        <f t="shared" si="29"/>
        <v>#VALUE!</v>
      </c>
      <c r="D134" s="968" t="e">
        <f t="shared" si="30"/>
        <v>#VALUE!</v>
      </c>
      <c r="E134" s="963" t="e">
        <f t="shared" si="31"/>
        <v>#VALUE!</v>
      </c>
      <c r="F134" s="963" t="e">
        <f t="shared" si="32"/>
        <v>#VALUE!</v>
      </c>
      <c r="G134" s="965" t="e">
        <f t="shared" si="33"/>
        <v>#VALUE!</v>
      </c>
      <c r="H134" s="965" t="e">
        <f t="shared" si="34"/>
        <v>#VALUE!</v>
      </c>
      <c r="M134" s="968">
        <v>77</v>
      </c>
      <c r="N134" s="985"/>
      <c r="O134" s="986"/>
      <c r="P134" s="986"/>
      <c r="Q134" s="986"/>
      <c r="R134" s="986"/>
      <c r="S134" s="986"/>
      <c r="T134" s="986"/>
    </row>
    <row r="135" spans="1:20">
      <c r="A135" s="965" t="e">
        <f>A134+31</f>
        <v>#VALUE!</v>
      </c>
      <c r="C135" s="971" t="e">
        <f t="shared" si="29"/>
        <v>#VALUE!</v>
      </c>
      <c r="D135" s="968" t="e">
        <f t="shared" si="30"/>
        <v>#VALUE!</v>
      </c>
      <c r="E135" s="963" t="e">
        <f t="shared" si="31"/>
        <v>#VALUE!</v>
      </c>
      <c r="F135" s="963" t="e">
        <f t="shared" si="32"/>
        <v>#VALUE!</v>
      </c>
      <c r="G135" s="965" t="e">
        <f t="shared" si="33"/>
        <v>#VALUE!</v>
      </c>
      <c r="H135" s="965" t="e">
        <f t="shared" si="34"/>
        <v>#VALUE!</v>
      </c>
      <c r="M135" s="968">
        <v>78</v>
      </c>
      <c r="N135" s="985"/>
      <c r="O135" s="986"/>
      <c r="P135" s="986"/>
      <c r="Q135" s="986"/>
      <c r="R135" s="986"/>
      <c r="S135" s="986"/>
      <c r="T135" s="986"/>
    </row>
    <row r="136" spans="1:20">
      <c r="A136" s="965" t="e">
        <f>A135+31</f>
        <v>#VALUE!</v>
      </c>
      <c r="C136" s="971" t="e">
        <f t="shared" si="29"/>
        <v>#VALUE!</v>
      </c>
      <c r="D136" s="968" t="e">
        <f t="shared" si="30"/>
        <v>#VALUE!</v>
      </c>
      <c r="E136" s="963" t="e">
        <f t="shared" si="31"/>
        <v>#VALUE!</v>
      </c>
      <c r="F136" s="963" t="e">
        <f t="shared" si="32"/>
        <v>#VALUE!</v>
      </c>
      <c r="G136" s="965" t="e">
        <f t="shared" si="33"/>
        <v>#VALUE!</v>
      </c>
      <c r="H136" s="965" t="e">
        <f t="shared" si="34"/>
        <v>#VALUE!</v>
      </c>
      <c r="M136" s="968">
        <v>79</v>
      </c>
      <c r="N136" s="985"/>
      <c r="O136" s="986"/>
      <c r="P136" s="986"/>
      <c r="Q136" s="986"/>
      <c r="R136" s="986"/>
      <c r="S136" s="986"/>
      <c r="T136" s="986"/>
    </row>
    <row r="137" spans="1:20">
      <c r="A137" s="965" t="e">
        <f>A136+30</f>
        <v>#VALUE!</v>
      </c>
      <c r="C137" s="971" t="e">
        <f t="shared" si="29"/>
        <v>#VALUE!</v>
      </c>
      <c r="D137" s="968" t="e">
        <f t="shared" si="30"/>
        <v>#VALUE!</v>
      </c>
      <c r="E137" s="963" t="e">
        <f t="shared" si="31"/>
        <v>#VALUE!</v>
      </c>
      <c r="F137" s="963" t="e">
        <f t="shared" si="32"/>
        <v>#VALUE!</v>
      </c>
      <c r="G137" s="965" t="e">
        <f t="shared" si="33"/>
        <v>#VALUE!</v>
      </c>
      <c r="H137" s="965" t="e">
        <f t="shared" si="34"/>
        <v>#VALUE!</v>
      </c>
      <c r="M137" s="968">
        <v>80</v>
      </c>
      <c r="N137" s="985"/>
      <c r="O137" s="986"/>
      <c r="P137" s="986"/>
      <c r="Q137" s="986"/>
      <c r="R137" s="986"/>
      <c r="S137" s="986"/>
      <c r="T137" s="986"/>
    </row>
    <row r="138" spans="1:20">
      <c r="A138" s="965" t="e">
        <f>A137+31</f>
        <v>#VALUE!</v>
      </c>
      <c r="C138" s="971" t="e">
        <f t="shared" si="29"/>
        <v>#VALUE!</v>
      </c>
      <c r="D138" s="968" t="e">
        <f t="shared" si="30"/>
        <v>#VALUE!</v>
      </c>
      <c r="E138" s="963" t="e">
        <f t="shared" si="31"/>
        <v>#VALUE!</v>
      </c>
      <c r="F138" s="963" t="e">
        <f t="shared" si="32"/>
        <v>#VALUE!</v>
      </c>
      <c r="G138" s="965" t="e">
        <f t="shared" si="33"/>
        <v>#VALUE!</v>
      </c>
      <c r="H138" s="965" t="e">
        <f t="shared" si="34"/>
        <v>#VALUE!</v>
      </c>
      <c r="M138" s="968">
        <v>81</v>
      </c>
      <c r="N138" s="985"/>
      <c r="O138" s="986"/>
      <c r="P138" s="986"/>
      <c r="Q138" s="986"/>
      <c r="R138" s="986"/>
      <c r="S138" s="986"/>
      <c r="T138" s="986"/>
    </row>
    <row r="139" spans="1:20">
      <c r="A139" s="965" t="e">
        <f>A138+30</f>
        <v>#VALUE!</v>
      </c>
      <c r="C139" s="971" t="e">
        <f t="shared" si="29"/>
        <v>#VALUE!</v>
      </c>
      <c r="D139" s="968" t="e">
        <f t="shared" si="30"/>
        <v>#VALUE!</v>
      </c>
      <c r="E139" s="963" t="e">
        <f t="shared" si="31"/>
        <v>#VALUE!</v>
      </c>
      <c r="F139" s="963" t="e">
        <f t="shared" si="32"/>
        <v>#VALUE!</v>
      </c>
      <c r="G139" s="965" t="e">
        <f t="shared" si="33"/>
        <v>#VALUE!</v>
      </c>
      <c r="H139" s="965" t="e">
        <f t="shared" si="34"/>
        <v>#VALUE!</v>
      </c>
      <c r="M139" s="968">
        <v>82</v>
      </c>
      <c r="N139" s="985"/>
      <c r="O139" s="986"/>
      <c r="P139" s="986"/>
      <c r="Q139" s="986"/>
      <c r="R139" s="986"/>
      <c r="S139" s="986"/>
      <c r="T139" s="986"/>
    </row>
    <row r="140" spans="1:20">
      <c r="A140" s="965" t="e">
        <f>A139+31</f>
        <v>#VALUE!</v>
      </c>
      <c r="C140" s="971" t="e">
        <f t="shared" si="29"/>
        <v>#VALUE!</v>
      </c>
      <c r="D140" s="968" t="e">
        <f t="shared" si="30"/>
        <v>#VALUE!</v>
      </c>
      <c r="E140" s="963" t="e">
        <f t="shared" si="31"/>
        <v>#VALUE!</v>
      </c>
      <c r="F140" s="963" t="e">
        <f t="shared" si="32"/>
        <v>#VALUE!</v>
      </c>
      <c r="G140" s="965" t="e">
        <f t="shared" si="33"/>
        <v>#VALUE!</v>
      </c>
      <c r="H140" s="965" t="e">
        <f t="shared" si="34"/>
        <v>#VALUE!</v>
      </c>
      <c r="M140" s="968">
        <v>83</v>
      </c>
      <c r="N140" s="985"/>
      <c r="O140" s="986"/>
      <c r="P140" s="986"/>
      <c r="Q140" s="986"/>
      <c r="R140" s="986"/>
      <c r="S140" s="986"/>
      <c r="T140" s="986"/>
    </row>
    <row r="141" spans="1:20">
      <c r="A141" s="965" t="e">
        <f>A140+31</f>
        <v>#VALUE!</v>
      </c>
      <c r="B141" s="963" t="b">
        <f>ISNA(VLOOKUP(A141,$E$4:$E$13,1,FALSE))</f>
        <v>0</v>
      </c>
      <c r="C141" s="971" t="e">
        <f t="shared" si="29"/>
        <v>#VALUE!</v>
      </c>
      <c r="D141" s="968" t="e">
        <f t="shared" si="30"/>
        <v>#VALUE!</v>
      </c>
      <c r="E141" s="963" t="e">
        <f t="shared" si="31"/>
        <v>#VALUE!</v>
      </c>
      <c r="F141" s="963" t="e">
        <f t="shared" si="32"/>
        <v>#VALUE!</v>
      </c>
      <c r="G141" s="965" t="e">
        <f t="shared" si="33"/>
        <v>#VALUE!</v>
      </c>
      <c r="H141" s="965" t="e">
        <f t="shared" si="34"/>
        <v>#VALUE!</v>
      </c>
      <c r="M141" s="968">
        <v>84</v>
      </c>
      <c r="N141" s="985"/>
      <c r="O141" s="986"/>
      <c r="P141" s="986"/>
      <c r="Q141" s="986"/>
      <c r="R141" s="986"/>
      <c r="S141" s="986"/>
      <c r="T141" s="986"/>
    </row>
    <row r="142" spans="1:20">
      <c r="A142" s="965" t="e">
        <f>IF(B141=TRUE,(A141+28),(A141+29))</f>
        <v>#VALUE!</v>
      </c>
      <c r="C142" s="971" t="e">
        <f t="shared" si="29"/>
        <v>#VALUE!</v>
      </c>
      <c r="D142" s="968" t="e">
        <f t="shared" si="30"/>
        <v>#VALUE!</v>
      </c>
      <c r="E142" s="963" t="e">
        <f t="shared" si="31"/>
        <v>#VALUE!</v>
      </c>
      <c r="F142" s="963" t="e">
        <f t="shared" si="32"/>
        <v>#VALUE!</v>
      </c>
      <c r="G142" s="965" t="e">
        <f t="shared" si="33"/>
        <v>#VALUE!</v>
      </c>
      <c r="H142" s="965" t="e">
        <f t="shared" si="34"/>
        <v>#VALUE!</v>
      </c>
      <c r="M142" s="968">
        <v>85</v>
      </c>
      <c r="N142" s="985"/>
      <c r="O142" s="986"/>
      <c r="P142" s="986"/>
      <c r="Q142" s="986"/>
      <c r="R142" s="986"/>
      <c r="S142" s="986"/>
      <c r="T142" s="986"/>
    </row>
    <row r="143" spans="1:20">
      <c r="A143" s="965" t="e">
        <f>A142+31</f>
        <v>#VALUE!</v>
      </c>
      <c r="C143" s="971" t="e">
        <f t="shared" si="29"/>
        <v>#VALUE!</v>
      </c>
      <c r="D143" s="968" t="e">
        <f t="shared" si="30"/>
        <v>#VALUE!</v>
      </c>
      <c r="E143" s="963" t="e">
        <f t="shared" si="31"/>
        <v>#VALUE!</v>
      </c>
      <c r="F143" s="963" t="e">
        <f t="shared" si="32"/>
        <v>#VALUE!</v>
      </c>
      <c r="G143" s="965" t="e">
        <f t="shared" si="33"/>
        <v>#VALUE!</v>
      </c>
      <c r="H143" s="965" t="e">
        <f t="shared" si="34"/>
        <v>#VALUE!</v>
      </c>
      <c r="M143" s="968">
        <v>86</v>
      </c>
      <c r="N143" s="985"/>
      <c r="O143" s="986"/>
      <c r="P143" s="986"/>
      <c r="Q143" s="986"/>
      <c r="R143" s="986"/>
      <c r="S143" s="986"/>
      <c r="T143" s="986"/>
    </row>
    <row r="144" spans="1:20">
      <c r="A144" s="965" t="e">
        <f>A143+30</f>
        <v>#VALUE!</v>
      </c>
      <c r="C144" s="971" t="e">
        <f t="shared" si="29"/>
        <v>#VALUE!</v>
      </c>
      <c r="D144" s="968" t="e">
        <f t="shared" si="30"/>
        <v>#VALUE!</v>
      </c>
      <c r="E144" s="963" t="e">
        <f t="shared" si="31"/>
        <v>#VALUE!</v>
      </c>
      <c r="F144" s="963" t="e">
        <f t="shared" si="32"/>
        <v>#VALUE!</v>
      </c>
      <c r="G144" s="965" t="e">
        <f t="shared" si="33"/>
        <v>#VALUE!</v>
      </c>
      <c r="H144" s="965" t="e">
        <f t="shared" si="34"/>
        <v>#VALUE!</v>
      </c>
      <c r="M144" s="968">
        <v>87</v>
      </c>
      <c r="N144" s="985"/>
      <c r="O144" s="986"/>
      <c r="P144" s="986"/>
      <c r="Q144" s="986"/>
      <c r="R144" s="986"/>
      <c r="S144" s="986"/>
      <c r="T144" s="986"/>
    </row>
    <row r="145" spans="1:20">
      <c r="A145" s="965" t="e">
        <f>A144+31</f>
        <v>#VALUE!</v>
      </c>
      <c r="C145" s="971" t="e">
        <f t="shared" si="29"/>
        <v>#VALUE!</v>
      </c>
      <c r="D145" s="968" t="e">
        <f t="shared" si="30"/>
        <v>#VALUE!</v>
      </c>
      <c r="E145" s="963" t="e">
        <f t="shared" si="31"/>
        <v>#VALUE!</v>
      </c>
      <c r="F145" s="963" t="e">
        <f t="shared" si="32"/>
        <v>#VALUE!</v>
      </c>
      <c r="G145" s="965" t="e">
        <f t="shared" si="33"/>
        <v>#VALUE!</v>
      </c>
      <c r="H145" s="965" t="e">
        <f t="shared" si="34"/>
        <v>#VALUE!</v>
      </c>
      <c r="M145" s="968">
        <v>88</v>
      </c>
      <c r="N145" s="985"/>
      <c r="O145" s="986"/>
      <c r="P145" s="986"/>
      <c r="Q145" s="986"/>
      <c r="R145" s="986"/>
      <c r="S145" s="986"/>
      <c r="T145" s="986"/>
    </row>
    <row r="146" spans="1:20">
      <c r="A146" s="965" t="e">
        <f>A145+30</f>
        <v>#VALUE!</v>
      </c>
      <c r="C146" s="971" t="e">
        <f t="shared" si="29"/>
        <v>#VALUE!</v>
      </c>
      <c r="D146" s="968" t="e">
        <f t="shared" si="30"/>
        <v>#VALUE!</v>
      </c>
      <c r="E146" s="963" t="e">
        <f t="shared" si="31"/>
        <v>#VALUE!</v>
      </c>
      <c r="F146" s="963" t="e">
        <f t="shared" si="32"/>
        <v>#VALUE!</v>
      </c>
      <c r="G146" s="965" t="e">
        <f t="shared" si="33"/>
        <v>#VALUE!</v>
      </c>
      <c r="H146" s="965" t="e">
        <f t="shared" si="34"/>
        <v>#VALUE!</v>
      </c>
      <c r="M146" s="968">
        <v>89</v>
      </c>
      <c r="N146" s="985"/>
      <c r="O146" s="986"/>
      <c r="P146" s="986"/>
      <c r="Q146" s="986"/>
      <c r="R146" s="986"/>
      <c r="S146" s="986"/>
      <c r="T146" s="986"/>
    </row>
    <row r="147" spans="1:20">
      <c r="A147" s="965" t="e">
        <f>A146+31</f>
        <v>#VALUE!</v>
      </c>
      <c r="C147" s="971" t="e">
        <f t="shared" si="29"/>
        <v>#VALUE!</v>
      </c>
      <c r="D147" s="968" t="e">
        <f t="shared" si="30"/>
        <v>#VALUE!</v>
      </c>
      <c r="E147" s="963" t="e">
        <f t="shared" si="31"/>
        <v>#VALUE!</v>
      </c>
      <c r="F147" s="963" t="e">
        <f t="shared" si="32"/>
        <v>#VALUE!</v>
      </c>
      <c r="G147" s="965" t="e">
        <f t="shared" si="33"/>
        <v>#VALUE!</v>
      </c>
      <c r="H147" s="965" t="e">
        <f t="shared" si="34"/>
        <v>#VALUE!</v>
      </c>
      <c r="M147" s="968">
        <v>90</v>
      </c>
      <c r="N147" s="985"/>
      <c r="O147" s="986"/>
      <c r="P147" s="986"/>
      <c r="Q147" s="986"/>
      <c r="R147" s="986"/>
      <c r="S147" s="986"/>
      <c r="T147" s="986"/>
    </row>
    <row r="148" spans="1:20">
      <c r="A148" s="965" t="e">
        <f>A147+31</f>
        <v>#VALUE!</v>
      </c>
      <c r="C148" s="971" t="e">
        <f t="shared" si="29"/>
        <v>#VALUE!</v>
      </c>
      <c r="D148" s="968" t="e">
        <f t="shared" si="30"/>
        <v>#VALUE!</v>
      </c>
      <c r="E148" s="963" t="e">
        <f t="shared" si="31"/>
        <v>#VALUE!</v>
      </c>
      <c r="F148" s="963" t="e">
        <f t="shared" si="32"/>
        <v>#VALUE!</v>
      </c>
      <c r="G148" s="965" t="e">
        <f t="shared" si="33"/>
        <v>#VALUE!</v>
      </c>
      <c r="H148" s="965" t="e">
        <f t="shared" si="34"/>
        <v>#VALUE!</v>
      </c>
      <c r="M148" s="968">
        <v>91</v>
      </c>
      <c r="N148" s="985"/>
      <c r="O148" s="986"/>
      <c r="P148" s="986"/>
      <c r="Q148" s="986"/>
      <c r="R148" s="986"/>
      <c r="S148" s="986"/>
      <c r="T148" s="986"/>
    </row>
    <row r="149" spans="1:20">
      <c r="A149" s="965" t="e">
        <f>A148+30</f>
        <v>#VALUE!</v>
      </c>
      <c r="C149" s="971" t="e">
        <f t="shared" ref="C149:C212" si="35">A149</f>
        <v>#VALUE!</v>
      </c>
      <c r="D149" s="968" t="e">
        <f t="shared" ref="D149:D212" si="36">IF(($P$23-C149)&lt;0,"",($P$23-C149))</f>
        <v>#VALUE!</v>
      </c>
      <c r="E149" s="963" t="e">
        <f t="shared" ref="E149:E212" si="37">IF(D149="","",RANK(D149,$D$20:$D$215,1))</f>
        <v>#VALUE!</v>
      </c>
      <c r="F149" s="963" t="e">
        <f t="shared" ref="F149:F212" si="38">IF(A149&lt;$L$37,$K$36,IF(A149&lt;$L$38,$K$37,IF(A149&lt;$L$39,$K$38,IF(A149&lt;$L$40,$K$39,IF(A149&lt;$L$41,$K$40,$K$41)))))</f>
        <v>#VALUE!</v>
      </c>
      <c r="G149" s="965" t="e">
        <f t="shared" ref="G149:G212" si="39">VLOOKUP(F149,$K$36:$L$41,2,FALSE)</f>
        <v>#VALUE!</v>
      </c>
      <c r="H149" s="965" t="e">
        <f t="shared" ref="H149:H212" si="40">A149</f>
        <v>#VALUE!</v>
      </c>
      <c r="M149" s="968">
        <v>92</v>
      </c>
      <c r="N149" s="985"/>
      <c r="O149" s="986"/>
      <c r="P149" s="986"/>
      <c r="Q149" s="986"/>
      <c r="R149" s="986"/>
      <c r="S149" s="986"/>
      <c r="T149" s="986"/>
    </row>
    <row r="150" spans="1:20">
      <c r="A150" s="965" t="e">
        <f>A149+31</f>
        <v>#VALUE!</v>
      </c>
      <c r="C150" s="971" t="e">
        <f t="shared" si="35"/>
        <v>#VALUE!</v>
      </c>
      <c r="D150" s="968" t="e">
        <f t="shared" si="36"/>
        <v>#VALUE!</v>
      </c>
      <c r="E150" s="963" t="e">
        <f t="shared" si="37"/>
        <v>#VALUE!</v>
      </c>
      <c r="F150" s="963" t="e">
        <f t="shared" si="38"/>
        <v>#VALUE!</v>
      </c>
      <c r="G150" s="965" t="e">
        <f t="shared" si="39"/>
        <v>#VALUE!</v>
      </c>
      <c r="H150" s="965" t="e">
        <f t="shared" si="40"/>
        <v>#VALUE!</v>
      </c>
      <c r="M150" s="968">
        <v>93</v>
      </c>
      <c r="N150" s="985"/>
      <c r="O150" s="986"/>
      <c r="P150" s="986"/>
      <c r="Q150" s="986"/>
      <c r="R150" s="986"/>
      <c r="S150" s="986"/>
      <c r="T150" s="986"/>
    </row>
    <row r="151" spans="1:20">
      <c r="A151" s="965" t="e">
        <f>A150+30</f>
        <v>#VALUE!</v>
      </c>
      <c r="C151" s="971" t="e">
        <f t="shared" si="35"/>
        <v>#VALUE!</v>
      </c>
      <c r="D151" s="968" t="e">
        <f t="shared" si="36"/>
        <v>#VALUE!</v>
      </c>
      <c r="E151" s="963" t="e">
        <f t="shared" si="37"/>
        <v>#VALUE!</v>
      </c>
      <c r="F151" s="963" t="e">
        <f t="shared" si="38"/>
        <v>#VALUE!</v>
      </c>
      <c r="G151" s="965" t="e">
        <f t="shared" si="39"/>
        <v>#VALUE!</v>
      </c>
      <c r="H151" s="965" t="e">
        <f t="shared" si="40"/>
        <v>#VALUE!</v>
      </c>
      <c r="M151" s="968">
        <v>94</v>
      </c>
      <c r="N151" s="985"/>
      <c r="O151" s="986"/>
      <c r="P151" s="986"/>
      <c r="Q151" s="986"/>
      <c r="R151" s="986"/>
      <c r="S151" s="986"/>
      <c r="T151" s="986"/>
    </row>
    <row r="152" spans="1:20">
      <c r="A152" s="965" t="e">
        <f>A151+31</f>
        <v>#VALUE!</v>
      </c>
      <c r="C152" s="971" t="e">
        <f t="shared" si="35"/>
        <v>#VALUE!</v>
      </c>
      <c r="D152" s="968" t="e">
        <f t="shared" si="36"/>
        <v>#VALUE!</v>
      </c>
      <c r="E152" s="963" t="e">
        <f t="shared" si="37"/>
        <v>#VALUE!</v>
      </c>
      <c r="F152" s="963" t="e">
        <f t="shared" si="38"/>
        <v>#VALUE!</v>
      </c>
      <c r="G152" s="965" t="e">
        <f t="shared" si="39"/>
        <v>#VALUE!</v>
      </c>
      <c r="H152" s="965" t="e">
        <f t="shared" si="40"/>
        <v>#VALUE!</v>
      </c>
      <c r="M152" s="968">
        <v>95</v>
      </c>
      <c r="N152" s="985"/>
      <c r="O152" s="986"/>
      <c r="P152" s="986"/>
      <c r="Q152" s="986"/>
      <c r="R152" s="986"/>
      <c r="S152" s="986"/>
      <c r="T152" s="986"/>
    </row>
    <row r="153" spans="1:20">
      <c r="A153" s="965" t="e">
        <f>A152+31</f>
        <v>#VALUE!</v>
      </c>
      <c r="B153" s="963" t="b">
        <f>ISNA(VLOOKUP(A153,$E$4:$E$13,1,FALSE))</f>
        <v>0</v>
      </c>
      <c r="C153" s="971" t="e">
        <f t="shared" si="35"/>
        <v>#VALUE!</v>
      </c>
      <c r="D153" s="968" t="e">
        <f t="shared" si="36"/>
        <v>#VALUE!</v>
      </c>
      <c r="E153" s="963" t="e">
        <f t="shared" si="37"/>
        <v>#VALUE!</v>
      </c>
      <c r="F153" s="963" t="e">
        <f t="shared" si="38"/>
        <v>#VALUE!</v>
      </c>
      <c r="G153" s="965" t="e">
        <f t="shared" si="39"/>
        <v>#VALUE!</v>
      </c>
      <c r="H153" s="965" t="e">
        <f t="shared" si="40"/>
        <v>#VALUE!</v>
      </c>
      <c r="M153" s="968">
        <v>96</v>
      </c>
      <c r="N153" s="985"/>
      <c r="O153" s="986"/>
      <c r="P153" s="986"/>
      <c r="Q153" s="986"/>
      <c r="R153" s="986"/>
      <c r="S153" s="986"/>
      <c r="T153" s="986"/>
    </row>
    <row r="154" spans="1:20">
      <c r="A154" s="965" t="e">
        <f>IF(B153=TRUE,(A153+28),(A153+29))</f>
        <v>#VALUE!</v>
      </c>
      <c r="C154" s="971" t="e">
        <f t="shared" si="35"/>
        <v>#VALUE!</v>
      </c>
      <c r="D154" s="968" t="e">
        <f t="shared" si="36"/>
        <v>#VALUE!</v>
      </c>
      <c r="E154" s="963" t="e">
        <f t="shared" si="37"/>
        <v>#VALUE!</v>
      </c>
      <c r="F154" s="963" t="e">
        <f t="shared" si="38"/>
        <v>#VALUE!</v>
      </c>
      <c r="G154" s="965" t="e">
        <f t="shared" si="39"/>
        <v>#VALUE!</v>
      </c>
      <c r="H154" s="965" t="e">
        <f t="shared" si="40"/>
        <v>#VALUE!</v>
      </c>
      <c r="M154" s="968">
        <v>97</v>
      </c>
      <c r="N154" s="985"/>
      <c r="O154" s="986"/>
      <c r="P154" s="986"/>
      <c r="Q154" s="986"/>
      <c r="R154" s="986"/>
      <c r="S154" s="986"/>
      <c r="T154" s="986"/>
    </row>
    <row r="155" spans="1:20">
      <c r="A155" s="965" t="e">
        <f>A154+31</f>
        <v>#VALUE!</v>
      </c>
      <c r="C155" s="971" t="e">
        <f t="shared" si="35"/>
        <v>#VALUE!</v>
      </c>
      <c r="D155" s="968" t="e">
        <f t="shared" si="36"/>
        <v>#VALUE!</v>
      </c>
      <c r="E155" s="963" t="e">
        <f t="shared" si="37"/>
        <v>#VALUE!</v>
      </c>
      <c r="F155" s="963" t="e">
        <f t="shared" si="38"/>
        <v>#VALUE!</v>
      </c>
      <c r="G155" s="965" t="e">
        <f t="shared" si="39"/>
        <v>#VALUE!</v>
      </c>
      <c r="H155" s="965" t="e">
        <f t="shared" si="40"/>
        <v>#VALUE!</v>
      </c>
      <c r="M155" s="968">
        <v>98</v>
      </c>
      <c r="N155" s="985"/>
      <c r="O155" s="986"/>
      <c r="P155" s="986"/>
      <c r="Q155" s="986"/>
      <c r="R155" s="986"/>
      <c r="S155" s="986"/>
      <c r="T155" s="986"/>
    </row>
    <row r="156" spans="1:20">
      <c r="A156" s="965" t="e">
        <f>A155+30</f>
        <v>#VALUE!</v>
      </c>
      <c r="C156" s="971" t="e">
        <f t="shared" si="35"/>
        <v>#VALUE!</v>
      </c>
      <c r="D156" s="968" t="e">
        <f t="shared" si="36"/>
        <v>#VALUE!</v>
      </c>
      <c r="E156" s="963" t="e">
        <f t="shared" si="37"/>
        <v>#VALUE!</v>
      </c>
      <c r="F156" s="963" t="e">
        <f t="shared" si="38"/>
        <v>#VALUE!</v>
      </c>
      <c r="G156" s="965" t="e">
        <f t="shared" si="39"/>
        <v>#VALUE!</v>
      </c>
      <c r="H156" s="965" t="e">
        <f t="shared" si="40"/>
        <v>#VALUE!</v>
      </c>
      <c r="M156" s="968">
        <v>99</v>
      </c>
      <c r="N156" s="985"/>
      <c r="O156" s="986"/>
      <c r="P156" s="986"/>
      <c r="Q156" s="986"/>
      <c r="R156" s="986"/>
      <c r="S156" s="986"/>
      <c r="T156" s="986"/>
    </row>
    <row r="157" spans="1:20">
      <c r="A157" s="965" t="e">
        <f>A156+31</f>
        <v>#VALUE!</v>
      </c>
      <c r="C157" s="971" t="e">
        <f t="shared" si="35"/>
        <v>#VALUE!</v>
      </c>
      <c r="D157" s="968" t="e">
        <f t="shared" si="36"/>
        <v>#VALUE!</v>
      </c>
      <c r="E157" s="963" t="e">
        <f t="shared" si="37"/>
        <v>#VALUE!</v>
      </c>
      <c r="F157" s="963" t="e">
        <f t="shared" si="38"/>
        <v>#VALUE!</v>
      </c>
      <c r="G157" s="965" t="e">
        <f t="shared" si="39"/>
        <v>#VALUE!</v>
      </c>
      <c r="H157" s="965" t="e">
        <f t="shared" si="40"/>
        <v>#VALUE!</v>
      </c>
      <c r="M157" s="968">
        <v>100</v>
      </c>
      <c r="N157" s="985"/>
      <c r="O157" s="986"/>
      <c r="P157" s="986"/>
      <c r="Q157" s="986"/>
      <c r="R157" s="986"/>
      <c r="S157" s="986"/>
      <c r="T157" s="986"/>
    </row>
    <row r="158" spans="1:20">
      <c r="A158" s="965" t="e">
        <f>A157+30</f>
        <v>#VALUE!</v>
      </c>
      <c r="C158" s="971" t="e">
        <f t="shared" si="35"/>
        <v>#VALUE!</v>
      </c>
      <c r="D158" s="968" t="e">
        <f t="shared" si="36"/>
        <v>#VALUE!</v>
      </c>
      <c r="E158" s="963" t="e">
        <f t="shared" si="37"/>
        <v>#VALUE!</v>
      </c>
      <c r="F158" s="963" t="e">
        <f t="shared" si="38"/>
        <v>#VALUE!</v>
      </c>
      <c r="G158" s="965" t="e">
        <f t="shared" si="39"/>
        <v>#VALUE!</v>
      </c>
      <c r="H158" s="965" t="e">
        <f t="shared" si="40"/>
        <v>#VALUE!</v>
      </c>
      <c r="M158" s="968">
        <v>101</v>
      </c>
      <c r="N158" s="985"/>
      <c r="O158" s="986"/>
      <c r="P158" s="986"/>
      <c r="Q158" s="986"/>
      <c r="R158" s="986"/>
      <c r="S158" s="986"/>
      <c r="T158" s="986"/>
    </row>
    <row r="159" spans="1:20">
      <c r="A159" s="965" t="e">
        <f>A158+31</f>
        <v>#VALUE!</v>
      </c>
      <c r="C159" s="971" t="e">
        <f t="shared" si="35"/>
        <v>#VALUE!</v>
      </c>
      <c r="D159" s="968" t="e">
        <f t="shared" si="36"/>
        <v>#VALUE!</v>
      </c>
      <c r="E159" s="963" t="e">
        <f t="shared" si="37"/>
        <v>#VALUE!</v>
      </c>
      <c r="F159" s="963" t="e">
        <f t="shared" si="38"/>
        <v>#VALUE!</v>
      </c>
      <c r="G159" s="965" t="e">
        <f t="shared" si="39"/>
        <v>#VALUE!</v>
      </c>
      <c r="H159" s="965" t="e">
        <f t="shared" si="40"/>
        <v>#VALUE!</v>
      </c>
      <c r="M159" s="968">
        <v>102</v>
      </c>
      <c r="N159" s="985"/>
      <c r="O159" s="986"/>
      <c r="P159" s="986"/>
      <c r="Q159" s="986"/>
      <c r="R159" s="986"/>
      <c r="S159" s="986"/>
      <c r="T159" s="986"/>
    </row>
    <row r="160" spans="1:20">
      <c r="A160" s="965" t="e">
        <f>A159+31</f>
        <v>#VALUE!</v>
      </c>
      <c r="C160" s="971" t="e">
        <f t="shared" si="35"/>
        <v>#VALUE!</v>
      </c>
      <c r="D160" s="968" t="e">
        <f t="shared" si="36"/>
        <v>#VALUE!</v>
      </c>
      <c r="E160" s="963" t="e">
        <f t="shared" si="37"/>
        <v>#VALUE!</v>
      </c>
      <c r="F160" s="963" t="e">
        <f t="shared" si="38"/>
        <v>#VALUE!</v>
      </c>
      <c r="G160" s="965" t="e">
        <f t="shared" si="39"/>
        <v>#VALUE!</v>
      </c>
      <c r="H160" s="965" t="e">
        <f t="shared" si="40"/>
        <v>#VALUE!</v>
      </c>
      <c r="M160" s="968">
        <v>103</v>
      </c>
      <c r="N160" s="985"/>
      <c r="O160" s="986"/>
      <c r="P160" s="986"/>
      <c r="Q160" s="986"/>
      <c r="R160" s="986"/>
      <c r="S160" s="986"/>
      <c r="T160" s="986"/>
    </row>
    <row r="161" spans="1:20">
      <c r="A161" s="965" t="e">
        <f>A160+30</f>
        <v>#VALUE!</v>
      </c>
      <c r="C161" s="971" t="e">
        <f t="shared" si="35"/>
        <v>#VALUE!</v>
      </c>
      <c r="D161" s="968" t="e">
        <f t="shared" si="36"/>
        <v>#VALUE!</v>
      </c>
      <c r="E161" s="963" t="e">
        <f t="shared" si="37"/>
        <v>#VALUE!</v>
      </c>
      <c r="F161" s="963" t="e">
        <f t="shared" si="38"/>
        <v>#VALUE!</v>
      </c>
      <c r="G161" s="965" t="e">
        <f t="shared" si="39"/>
        <v>#VALUE!</v>
      </c>
      <c r="H161" s="965" t="e">
        <f t="shared" si="40"/>
        <v>#VALUE!</v>
      </c>
      <c r="M161" s="968">
        <v>104</v>
      </c>
      <c r="N161" s="985"/>
      <c r="O161" s="986"/>
      <c r="P161" s="986"/>
      <c r="Q161" s="986"/>
      <c r="R161" s="986"/>
      <c r="S161" s="986"/>
      <c r="T161" s="986"/>
    </row>
    <row r="162" spans="1:20">
      <c r="A162" s="965" t="e">
        <f>A161+31</f>
        <v>#VALUE!</v>
      </c>
      <c r="C162" s="971" t="e">
        <f t="shared" si="35"/>
        <v>#VALUE!</v>
      </c>
      <c r="D162" s="968" t="e">
        <f t="shared" si="36"/>
        <v>#VALUE!</v>
      </c>
      <c r="E162" s="963" t="e">
        <f t="shared" si="37"/>
        <v>#VALUE!</v>
      </c>
      <c r="F162" s="963" t="e">
        <f t="shared" si="38"/>
        <v>#VALUE!</v>
      </c>
      <c r="G162" s="965" t="e">
        <f t="shared" si="39"/>
        <v>#VALUE!</v>
      </c>
      <c r="H162" s="965" t="e">
        <f t="shared" si="40"/>
        <v>#VALUE!</v>
      </c>
      <c r="M162" s="968">
        <v>105</v>
      </c>
      <c r="N162" s="985"/>
      <c r="O162" s="986"/>
      <c r="P162" s="986"/>
      <c r="Q162" s="986"/>
      <c r="R162" s="986"/>
      <c r="S162" s="986"/>
      <c r="T162" s="986"/>
    </row>
    <row r="163" spans="1:20">
      <c r="A163" s="965" t="e">
        <f>A162+30</f>
        <v>#VALUE!</v>
      </c>
      <c r="C163" s="971" t="e">
        <f t="shared" si="35"/>
        <v>#VALUE!</v>
      </c>
      <c r="D163" s="968" t="e">
        <f t="shared" si="36"/>
        <v>#VALUE!</v>
      </c>
      <c r="E163" s="963" t="e">
        <f t="shared" si="37"/>
        <v>#VALUE!</v>
      </c>
      <c r="F163" s="963" t="e">
        <f t="shared" si="38"/>
        <v>#VALUE!</v>
      </c>
      <c r="G163" s="965" t="e">
        <f t="shared" si="39"/>
        <v>#VALUE!</v>
      </c>
      <c r="H163" s="965" t="e">
        <f t="shared" si="40"/>
        <v>#VALUE!</v>
      </c>
      <c r="M163" s="968">
        <v>106</v>
      </c>
      <c r="N163" s="985"/>
      <c r="O163" s="986"/>
      <c r="P163" s="986"/>
      <c r="Q163" s="986"/>
      <c r="R163" s="986"/>
      <c r="S163" s="986"/>
      <c r="T163" s="986"/>
    </row>
    <row r="164" spans="1:20">
      <c r="A164" s="965" t="e">
        <f>A163+31</f>
        <v>#VALUE!</v>
      </c>
      <c r="C164" s="971" t="e">
        <f t="shared" si="35"/>
        <v>#VALUE!</v>
      </c>
      <c r="D164" s="968" t="e">
        <f t="shared" si="36"/>
        <v>#VALUE!</v>
      </c>
      <c r="E164" s="963" t="e">
        <f t="shared" si="37"/>
        <v>#VALUE!</v>
      </c>
      <c r="F164" s="963" t="e">
        <f t="shared" si="38"/>
        <v>#VALUE!</v>
      </c>
      <c r="G164" s="965" t="e">
        <f t="shared" si="39"/>
        <v>#VALUE!</v>
      </c>
      <c r="H164" s="965" t="e">
        <f t="shared" si="40"/>
        <v>#VALUE!</v>
      </c>
      <c r="M164" s="968">
        <v>107</v>
      </c>
      <c r="N164" s="985"/>
      <c r="O164" s="986"/>
      <c r="P164" s="986"/>
      <c r="Q164" s="986"/>
      <c r="R164" s="986"/>
      <c r="S164" s="986"/>
      <c r="T164" s="986"/>
    </row>
    <row r="165" spans="1:20">
      <c r="A165" s="965" t="e">
        <f>A164+31</f>
        <v>#VALUE!</v>
      </c>
      <c r="B165" s="963" t="b">
        <f>ISNA(VLOOKUP(A165,$E$4:$E$13,1,FALSE))</f>
        <v>0</v>
      </c>
      <c r="C165" s="971" t="e">
        <f t="shared" si="35"/>
        <v>#VALUE!</v>
      </c>
      <c r="D165" s="968" t="e">
        <f t="shared" si="36"/>
        <v>#VALUE!</v>
      </c>
      <c r="E165" s="963" t="e">
        <f t="shared" si="37"/>
        <v>#VALUE!</v>
      </c>
      <c r="F165" s="963" t="e">
        <f t="shared" si="38"/>
        <v>#VALUE!</v>
      </c>
      <c r="G165" s="965" t="e">
        <f t="shared" si="39"/>
        <v>#VALUE!</v>
      </c>
      <c r="H165" s="965" t="e">
        <f t="shared" si="40"/>
        <v>#VALUE!</v>
      </c>
      <c r="M165" s="968">
        <v>108</v>
      </c>
      <c r="N165" s="985"/>
      <c r="O165" s="986"/>
      <c r="P165" s="986"/>
      <c r="Q165" s="986"/>
      <c r="R165" s="986"/>
      <c r="S165" s="986"/>
      <c r="T165" s="986"/>
    </row>
    <row r="166" spans="1:20">
      <c r="A166" s="965" t="e">
        <f>IF(B165=TRUE,(A165+28),(A165+29))</f>
        <v>#VALUE!</v>
      </c>
      <c r="C166" s="971" t="e">
        <f t="shared" si="35"/>
        <v>#VALUE!</v>
      </c>
      <c r="D166" s="968" t="e">
        <f t="shared" si="36"/>
        <v>#VALUE!</v>
      </c>
      <c r="E166" s="963" t="e">
        <f t="shared" si="37"/>
        <v>#VALUE!</v>
      </c>
      <c r="F166" s="963" t="e">
        <f t="shared" si="38"/>
        <v>#VALUE!</v>
      </c>
      <c r="G166" s="965" t="e">
        <f t="shared" si="39"/>
        <v>#VALUE!</v>
      </c>
      <c r="H166" s="965" t="e">
        <f t="shared" si="40"/>
        <v>#VALUE!</v>
      </c>
      <c r="M166" s="968">
        <v>109</v>
      </c>
      <c r="N166" s="985"/>
      <c r="O166" s="986"/>
      <c r="P166" s="986"/>
      <c r="Q166" s="986"/>
      <c r="R166" s="986"/>
      <c r="S166" s="986"/>
      <c r="T166" s="986"/>
    </row>
    <row r="167" spans="1:20">
      <c r="A167" s="965" t="e">
        <f>A166+31</f>
        <v>#VALUE!</v>
      </c>
      <c r="C167" s="971" t="e">
        <f t="shared" si="35"/>
        <v>#VALUE!</v>
      </c>
      <c r="D167" s="968" t="e">
        <f t="shared" si="36"/>
        <v>#VALUE!</v>
      </c>
      <c r="E167" s="963" t="e">
        <f t="shared" si="37"/>
        <v>#VALUE!</v>
      </c>
      <c r="F167" s="963" t="e">
        <f t="shared" si="38"/>
        <v>#VALUE!</v>
      </c>
      <c r="G167" s="965" t="e">
        <f t="shared" si="39"/>
        <v>#VALUE!</v>
      </c>
      <c r="H167" s="965" t="e">
        <f t="shared" si="40"/>
        <v>#VALUE!</v>
      </c>
      <c r="M167" s="968">
        <v>110</v>
      </c>
      <c r="N167" s="985"/>
      <c r="O167" s="986"/>
      <c r="P167" s="986"/>
      <c r="Q167" s="986"/>
      <c r="R167" s="986"/>
      <c r="S167" s="986"/>
      <c r="T167" s="986"/>
    </row>
    <row r="168" spans="1:20">
      <c r="A168" s="965" t="e">
        <f>A167+30</f>
        <v>#VALUE!</v>
      </c>
      <c r="C168" s="971" t="e">
        <f t="shared" si="35"/>
        <v>#VALUE!</v>
      </c>
      <c r="D168" s="968" t="e">
        <f t="shared" si="36"/>
        <v>#VALUE!</v>
      </c>
      <c r="E168" s="963" t="e">
        <f t="shared" si="37"/>
        <v>#VALUE!</v>
      </c>
      <c r="F168" s="963" t="e">
        <f t="shared" si="38"/>
        <v>#VALUE!</v>
      </c>
      <c r="G168" s="965" t="e">
        <f t="shared" si="39"/>
        <v>#VALUE!</v>
      </c>
      <c r="H168" s="965" t="e">
        <f t="shared" si="40"/>
        <v>#VALUE!</v>
      </c>
      <c r="M168" s="968">
        <v>111</v>
      </c>
      <c r="N168" s="985"/>
      <c r="O168" s="986"/>
      <c r="P168" s="986"/>
      <c r="Q168" s="986"/>
      <c r="R168" s="986"/>
      <c r="S168" s="986"/>
      <c r="T168" s="986"/>
    </row>
    <row r="169" spans="1:20">
      <c r="A169" s="965" t="e">
        <f>A168+31</f>
        <v>#VALUE!</v>
      </c>
      <c r="C169" s="971" t="e">
        <f t="shared" si="35"/>
        <v>#VALUE!</v>
      </c>
      <c r="D169" s="968" t="e">
        <f t="shared" si="36"/>
        <v>#VALUE!</v>
      </c>
      <c r="E169" s="963" t="e">
        <f t="shared" si="37"/>
        <v>#VALUE!</v>
      </c>
      <c r="F169" s="963" t="e">
        <f t="shared" si="38"/>
        <v>#VALUE!</v>
      </c>
      <c r="G169" s="965" t="e">
        <f t="shared" si="39"/>
        <v>#VALUE!</v>
      </c>
      <c r="H169" s="965" t="e">
        <f t="shared" si="40"/>
        <v>#VALUE!</v>
      </c>
      <c r="M169" s="968">
        <v>112</v>
      </c>
      <c r="N169" s="985"/>
      <c r="O169" s="986"/>
      <c r="P169" s="986"/>
      <c r="Q169" s="986"/>
      <c r="R169" s="986"/>
      <c r="S169" s="986"/>
      <c r="T169" s="986"/>
    </row>
    <row r="170" spans="1:20">
      <c r="A170" s="965" t="e">
        <f>A169+30</f>
        <v>#VALUE!</v>
      </c>
      <c r="C170" s="971" t="e">
        <f t="shared" si="35"/>
        <v>#VALUE!</v>
      </c>
      <c r="D170" s="968" t="e">
        <f t="shared" si="36"/>
        <v>#VALUE!</v>
      </c>
      <c r="E170" s="963" t="e">
        <f t="shared" si="37"/>
        <v>#VALUE!</v>
      </c>
      <c r="F170" s="963" t="e">
        <f t="shared" si="38"/>
        <v>#VALUE!</v>
      </c>
      <c r="G170" s="965" t="e">
        <f t="shared" si="39"/>
        <v>#VALUE!</v>
      </c>
      <c r="H170" s="965" t="e">
        <f t="shared" si="40"/>
        <v>#VALUE!</v>
      </c>
      <c r="M170" s="968">
        <v>113</v>
      </c>
      <c r="N170" s="985"/>
      <c r="O170" s="986"/>
      <c r="P170" s="986"/>
      <c r="Q170" s="986"/>
      <c r="R170" s="986"/>
      <c r="S170" s="986"/>
      <c r="T170" s="986"/>
    </row>
    <row r="171" spans="1:20">
      <c r="A171" s="965" t="e">
        <f>A170+31</f>
        <v>#VALUE!</v>
      </c>
      <c r="C171" s="971" t="e">
        <f t="shared" si="35"/>
        <v>#VALUE!</v>
      </c>
      <c r="D171" s="968" t="e">
        <f t="shared" si="36"/>
        <v>#VALUE!</v>
      </c>
      <c r="E171" s="963" t="e">
        <f t="shared" si="37"/>
        <v>#VALUE!</v>
      </c>
      <c r="F171" s="963" t="e">
        <f t="shared" si="38"/>
        <v>#VALUE!</v>
      </c>
      <c r="G171" s="965" t="e">
        <f t="shared" si="39"/>
        <v>#VALUE!</v>
      </c>
      <c r="H171" s="965" t="e">
        <f t="shared" si="40"/>
        <v>#VALUE!</v>
      </c>
      <c r="M171" s="968">
        <v>114</v>
      </c>
      <c r="N171" s="985"/>
      <c r="O171" s="986"/>
      <c r="P171" s="986"/>
      <c r="Q171" s="986"/>
      <c r="R171" s="986"/>
      <c r="S171" s="986"/>
      <c r="T171" s="986"/>
    </row>
    <row r="172" spans="1:20">
      <c r="A172" s="965" t="e">
        <f>A171+31</f>
        <v>#VALUE!</v>
      </c>
      <c r="C172" s="971" t="e">
        <f t="shared" si="35"/>
        <v>#VALUE!</v>
      </c>
      <c r="D172" s="968" t="e">
        <f t="shared" si="36"/>
        <v>#VALUE!</v>
      </c>
      <c r="E172" s="963" t="e">
        <f t="shared" si="37"/>
        <v>#VALUE!</v>
      </c>
      <c r="F172" s="963" t="e">
        <f t="shared" si="38"/>
        <v>#VALUE!</v>
      </c>
      <c r="G172" s="965" t="e">
        <f t="shared" si="39"/>
        <v>#VALUE!</v>
      </c>
      <c r="H172" s="965" t="e">
        <f t="shared" si="40"/>
        <v>#VALUE!</v>
      </c>
      <c r="M172" s="968">
        <v>115</v>
      </c>
      <c r="N172" s="985"/>
      <c r="O172" s="986"/>
      <c r="P172" s="986"/>
      <c r="Q172" s="986"/>
      <c r="R172" s="986"/>
      <c r="S172" s="986"/>
      <c r="T172" s="986"/>
    </row>
    <row r="173" spans="1:20">
      <c r="A173" s="965" t="e">
        <f>A172+30</f>
        <v>#VALUE!</v>
      </c>
      <c r="C173" s="971" t="e">
        <f t="shared" si="35"/>
        <v>#VALUE!</v>
      </c>
      <c r="D173" s="968" t="e">
        <f t="shared" si="36"/>
        <v>#VALUE!</v>
      </c>
      <c r="E173" s="963" t="e">
        <f t="shared" si="37"/>
        <v>#VALUE!</v>
      </c>
      <c r="F173" s="963" t="e">
        <f t="shared" si="38"/>
        <v>#VALUE!</v>
      </c>
      <c r="G173" s="965" t="e">
        <f t="shared" si="39"/>
        <v>#VALUE!</v>
      </c>
      <c r="H173" s="965" t="e">
        <f t="shared" si="40"/>
        <v>#VALUE!</v>
      </c>
      <c r="M173" s="968">
        <v>116</v>
      </c>
      <c r="N173" s="985"/>
      <c r="O173" s="986"/>
      <c r="P173" s="986"/>
      <c r="Q173" s="986"/>
      <c r="R173" s="986"/>
      <c r="S173" s="986"/>
      <c r="T173" s="986"/>
    </row>
    <row r="174" spans="1:20">
      <c r="A174" s="965" t="e">
        <f>A173+31</f>
        <v>#VALUE!</v>
      </c>
      <c r="C174" s="971" t="e">
        <f t="shared" si="35"/>
        <v>#VALUE!</v>
      </c>
      <c r="D174" s="968" t="e">
        <f t="shared" si="36"/>
        <v>#VALUE!</v>
      </c>
      <c r="E174" s="963" t="e">
        <f t="shared" si="37"/>
        <v>#VALUE!</v>
      </c>
      <c r="F174" s="963" t="e">
        <f t="shared" si="38"/>
        <v>#VALUE!</v>
      </c>
      <c r="G174" s="965" t="e">
        <f t="shared" si="39"/>
        <v>#VALUE!</v>
      </c>
      <c r="H174" s="965" t="e">
        <f t="shared" si="40"/>
        <v>#VALUE!</v>
      </c>
      <c r="M174" s="968">
        <v>117</v>
      </c>
      <c r="N174" s="985"/>
      <c r="O174" s="986"/>
      <c r="P174" s="986"/>
      <c r="Q174" s="986"/>
      <c r="R174" s="986"/>
      <c r="S174" s="986"/>
      <c r="T174" s="986"/>
    </row>
    <row r="175" spans="1:20">
      <c r="A175" s="965" t="e">
        <f>A174+30</f>
        <v>#VALUE!</v>
      </c>
      <c r="C175" s="971" t="e">
        <f t="shared" si="35"/>
        <v>#VALUE!</v>
      </c>
      <c r="D175" s="968" t="e">
        <f t="shared" si="36"/>
        <v>#VALUE!</v>
      </c>
      <c r="E175" s="963" t="e">
        <f t="shared" si="37"/>
        <v>#VALUE!</v>
      </c>
      <c r="F175" s="963" t="e">
        <f t="shared" si="38"/>
        <v>#VALUE!</v>
      </c>
      <c r="G175" s="965" t="e">
        <f t="shared" si="39"/>
        <v>#VALUE!</v>
      </c>
      <c r="H175" s="965" t="e">
        <f t="shared" si="40"/>
        <v>#VALUE!</v>
      </c>
      <c r="M175" s="968">
        <v>118</v>
      </c>
      <c r="N175" s="985"/>
      <c r="O175" s="986"/>
      <c r="P175" s="986"/>
      <c r="Q175" s="986"/>
      <c r="R175" s="986"/>
      <c r="S175" s="986"/>
      <c r="T175" s="986"/>
    </row>
    <row r="176" spans="1:20">
      <c r="A176" s="965" t="e">
        <f>A175+31</f>
        <v>#VALUE!</v>
      </c>
      <c r="C176" s="971" t="e">
        <f t="shared" si="35"/>
        <v>#VALUE!</v>
      </c>
      <c r="D176" s="968" t="e">
        <f t="shared" si="36"/>
        <v>#VALUE!</v>
      </c>
      <c r="E176" s="963" t="e">
        <f t="shared" si="37"/>
        <v>#VALUE!</v>
      </c>
      <c r="F176" s="963" t="e">
        <f t="shared" si="38"/>
        <v>#VALUE!</v>
      </c>
      <c r="G176" s="965" t="e">
        <f t="shared" si="39"/>
        <v>#VALUE!</v>
      </c>
      <c r="H176" s="965" t="e">
        <f t="shared" si="40"/>
        <v>#VALUE!</v>
      </c>
      <c r="M176" s="968">
        <v>119</v>
      </c>
      <c r="N176" s="985"/>
      <c r="O176" s="986"/>
      <c r="P176" s="986"/>
      <c r="Q176" s="986"/>
      <c r="R176" s="986"/>
      <c r="S176" s="986"/>
      <c r="T176" s="986"/>
    </row>
    <row r="177" spans="1:20">
      <c r="A177" s="965" t="e">
        <f>A176+31</f>
        <v>#VALUE!</v>
      </c>
      <c r="B177" s="963" t="b">
        <f>ISNA(VLOOKUP(A177,$E$4:$E$13,1,FALSE))</f>
        <v>0</v>
      </c>
      <c r="C177" s="971" t="e">
        <f t="shared" si="35"/>
        <v>#VALUE!</v>
      </c>
      <c r="D177" s="968" t="e">
        <f t="shared" si="36"/>
        <v>#VALUE!</v>
      </c>
      <c r="E177" s="963" t="e">
        <f t="shared" si="37"/>
        <v>#VALUE!</v>
      </c>
      <c r="F177" s="963" t="e">
        <f t="shared" si="38"/>
        <v>#VALUE!</v>
      </c>
      <c r="G177" s="965" t="e">
        <f t="shared" si="39"/>
        <v>#VALUE!</v>
      </c>
      <c r="H177" s="965" t="e">
        <f t="shared" si="40"/>
        <v>#VALUE!</v>
      </c>
      <c r="M177" s="968">
        <v>120</v>
      </c>
      <c r="N177" s="985"/>
      <c r="O177" s="986"/>
      <c r="P177" s="986"/>
      <c r="Q177" s="986"/>
      <c r="R177" s="986"/>
      <c r="S177" s="986"/>
      <c r="T177" s="986"/>
    </row>
    <row r="178" spans="1:20">
      <c r="A178" s="965" t="e">
        <f>IF(B177=TRUE,(A177+28),(A177+29))</f>
        <v>#VALUE!</v>
      </c>
      <c r="C178" s="971" t="e">
        <f t="shared" si="35"/>
        <v>#VALUE!</v>
      </c>
      <c r="D178" s="968" t="e">
        <f t="shared" si="36"/>
        <v>#VALUE!</v>
      </c>
      <c r="E178" s="963" t="e">
        <f t="shared" si="37"/>
        <v>#VALUE!</v>
      </c>
      <c r="F178" s="963" t="e">
        <f t="shared" si="38"/>
        <v>#VALUE!</v>
      </c>
      <c r="G178" s="965" t="e">
        <f t="shared" si="39"/>
        <v>#VALUE!</v>
      </c>
      <c r="H178" s="965" t="e">
        <f t="shared" si="40"/>
        <v>#VALUE!</v>
      </c>
      <c r="M178" s="968">
        <v>121</v>
      </c>
      <c r="N178" s="985"/>
      <c r="O178" s="986"/>
      <c r="P178" s="986"/>
      <c r="Q178" s="986"/>
      <c r="R178" s="986"/>
      <c r="S178" s="986"/>
      <c r="T178" s="986"/>
    </row>
    <row r="179" spans="1:20">
      <c r="A179" s="965" t="e">
        <f>A178+31</f>
        <v>#VALUE!</v>
      </c>
      <c r="C179" s="971" t="e">
        <f t="shared" si="35"/>
        <v>#VALUE!</v>
      </c>
      <c r="D179" s="968" t="e">
        <f t="shared" si="36"/>
        <v>#VALUE!</v>
      </c>
      <c r="E179" s="963" t="e">
        <f t="shared" si="37"/>
        <v>#VALUE!</v>
      </c>
      <c r="F179" s="963" t="e">
        <f t="shared" si="38"/>
        <v>#VALUE!</v>
      </c>
      <c r="G179" s="965" t="e">
        <f t="shared" si="39"/>
        <v>#VALUE!</v>
      </c>
      <c r="H179" s="965" t="e">
        <f t="shared" si="40"/>
        <v>#VALUE!</v>
      </c>
      <c r="M179" s="968">
        <v>122</v>
      </c>
      <c r="N179" s="985"/>
      <c r="O179" s="986"/>
      <c r="P179" s="986"/>
      <c r="Q179" s="986"/>
      <c r="R179" s="986"/>
      <c r="S179" s="986"/>
      <c r="T179" s="986"/>
    </row>
    <row r="180" spans="1:20">
      <c r="A180" s="965" t="e">
        <f>A179+30</f>
        <v>#VALUE!</v>
      </c>
      <c r="C180" s="971" t="e">
        <f t="shared" si="35"/>
        <v>#VALUE!</v>
      </c>
      <c r="D180" s="968" t="e">
        <f t="shared" si="36"/>
        <v>#VALUE!</v>
      </c>
      <c r="E180" s="963" t="e">
        <f t="shared" si="37"/>
        <v>#VALUE!</v>
      </c>
      <c r="F180" s="963" t="e">
        <f t="shared" si="38"/>
        <v>#VALUE!</v>
      </c>
      <c r="G180" s="965" t="e">
        <f t="shared" si="39"/>
        <v>#VALUE!</v>
      </c>
      <c r="H180" s="965" t="e">
        <f t="shared" si="40"/>
        <v>#VALUE!</v>
      </c>
      <c r="M180" s="968">
        <v>123</v>
      </c>
      <c r="N180" s="985"/>
      <c r="O180" s="986"/>
      <c r="P180" s="986"/>
      <c r="Q180" s="986"/>
      <c r="R180" s="986"/>
      <c r="S180" s="986"/>
      <c r="T180" s="986"/>
    </row>
    <row r="181" spans="1:20">
      <c r="A181" s="965" t="e">
        <f>A180+31</f>
        <v>#VALUE!</v>
      </c>
      <c r="C181" s="971" t="e">
        <f t="shared" si="35"/>
        <v>#VALUE!</v>
      </c>
      <c r="D181" s="968" t="e">
        <f t="shared" si="36"/>
        <v>#VALUE!</v>
      </c>
      <c r="E181" s="963" t="e">
        <f t="shared" si="37"/>
        <v>#VALUE!</v>
      </c>
      <c r="F181" s="963" t="e">
        <f t="shared" si="38"/>
        <v>#VALUE!</v>
      </c>
      <c r="G181" s="965" t="e">
        <f t="shared" si="39"/>
        <v>#VALUE!</v>
      </c>
      <c r="H181" s="965" t="e">
        <f t="shared" si="40"/>
        <v>#VALUE!</v>
      </c>
      <c r="M181" s="968">
        <v>124</v>
      </c>
      <c r="N181" s="985"/>
      <c r="O181" s="986"/>
      <c r="P181" s="986"/>
      <c r="Q181" s="986"/>
      <c r="R181" s="986"/>
      <c r="S181" s="986"/>
      <c r="T181" s="986"/>
    </row>
    <row r="182" spans="1:20">
      <c r="A182" s="965" t="e">
        <f>A181+30</f>
        <v>#VALUE!</v>
      </c>
      <c r="C182" s="971" t="e">
        <f t="shared" si="35"/>
        <v>#VALUE!</v>
      </c>
      <c r="D182" s="968" t="e">
        <f t="shared" si="36"/>
        <v>#VALUE!</v>
      </c>
      <c r="E182" s="963" t="e">
        <f t="shared" si="37"/>
        <v>#VALUE!</v>
      </c>
      <c r="F182" s="963" t="e">
        <f t="shared" si="38"/>
        <v>#VALUE!</v>
      </c>
      <c r="G182" s="965" t="e">
        <f t="shared" si="39"/>
        <v>#VALUE!</v>
      </c>
      <c r="H182" s="965" t="e">
        <f t="shared" si="40"/>
        <v>#VALUE!</v>
      </c>
      <c r="M182" s="968">
        <v>125</v>
      </c>
      <c r="N182" s="985"/>
      <c r="O182" s="986"/>
      <c r="P182" s="986"/>
      <c r="Q182" s="986"/>
      <c r="R182" s="986"/>
      <c r="S182" s="986"/>
      <c r="T182" s="986"/>
    </row>
    <row r="183" spans="1:20">
      <c r="A183" s="965" t="e">
        <f>A182+31</f>
        <v>#VALUE!</v>
      </c>
      <c r="C183" s="971" t="e">
        <f t="shared" si="35"/>
        <v>#VALUE!</v>
      </c>
      <c r="D183" s="968" t="e">
        <f t="shared" si="36"/>
        <v>#VALUE!</v>
      </c>
      <c r="E183" s="963" t="e">
        <f t="shared" si="37"/>
        <v>#VALUE!</v>
      </c>
      <c r="F183" s="963" t="e">
        <f t="shared" si="38"/>
        <v>#VALUE!</v>
      </c>
      <c r="G183" s="965" t="e">
        <f t="shared" si="39"/>
        <v>#VALUE!</v>
      </c>
      <c r="H183" s="965" t="e">
        <f t="shared" si="40"/>
        <v>#VALUE!</v>
      </c>
      <c r="M183" s="968">
        <v>126</v>
      </c>
      <c r="N183" s="985"/>
      <c r="O183" s="986"/>
      <c r="P183" s="986"/>
      <c r="Q183" s="986"/>
      <c r="R183" s="986"/>
      <c r="S183" s="986"/>
      <c r="T183" s="986"/>
    </row>
    <row r="184" spans="1:20">
      <c r="A184" s="965" t="e">
        <f>A183+31</f>
        <v>#VALUE!</v>
      </c>
      <c r="C184" s="971" t="e">
        <f t="shared" si="35"/>
        <v>#VALUE!</v>
      </c>
      <c r="D184" s="968" t="e">
        <f t="shared" si="36"/>
        <v>#VALUE!</v>
      </c>
      <c r="E184" s="963" t="e">
        <f t="shared" si="37"/>
        <v>#VALUE!</v>
      </c>
      <c r="F184" s="963" t="e">
        <f t="shared" si="38"/>
        <v>#VALUE!</v>
      </c>
      <c r="G184" s="965" t="e">
        <f t="shared" si="39"/>
        <v>#VALUE!</v>
      </c>
      <c r="H184" s="965" t="e">
        <f t="shared" si="40"/>
        <v>#VALUE!</v>
      </c>
      <c r="M184" s="968">
        <v>127</v>
      </c>
      <c r="N184" s="985"/>
      <c r="O184" s="986"/>
      <c r="P184" s="986"/>
      <c r="Q184" s="986"/>
      <c r="R184" s="986"/>
      <c r="S184" s="986"/>
      <c r="T184" s="986"/>
    </row>
    <row r="185" spans="1:20">
      <c r="A185" s="965" t="e">
        <f>A184+30</f>
        <v>#VALUE!</v>
      </c>
      <c r="C185" s="971" t="e">
        <f t="shared" si="35"/>
        <v>#VALUE!</v>
      </c>
      <c r="D185" s="968" t="e">
        <f t="shared" si="36"/>
        <v>#VALUE!</v>
      </c>
      <c r="E185" s="963" t="e">
        <f t="shared" si="37"/>
        <v>#VALUE!</v>
      </c>
      <c r="F185" s="963" t="e">
        <f t="shared" si="38"/>
        <v>#VALUE!</v>
      </c>
      <c r="G185" s="965" t="e">
        <f t="shared" si="39"/>
        <v>#VALUE!</v>
      </c>
      <c r="H185" s="965" t="e">
        <f t="shared" si="40"/>
        <v>#VALUE!</v>
      </c>
      <c r="M185" s="968">
        <v>128</v>
      </c>
      <c r="N185" s="985"/>
      <c r="O185" s="986"/>
      <c r="P185" s="986"/>
      <c r="Q185" s="986"/>
      <c r="R185" s="986"/>
      <c r="S185" s="986"/>
      <c r="T185" s="986"/>
    </row>
    <row r="186" spans="1:20">
      <c r="A186" s="965" t="e">
        <f>A185+31</f>
        <v>#VALUE!</v>
      </c>
      <c r="C186" s="971" t="e">
        <f t="shared" si="35"/>
        <v>#VALUE!</v>
      </c>
      <c r="D186" s="968" t="e">
        <f t="shared" si="36"/>
        <v>#VALUE!</v>
      </c>
      <c r="E186" s="963" t="e">
        <f t="shared" si="37"/>
        <v>#VALUE!</v>
      </c>
      <c r="F186" s="963" t="e">
        <f t="shared" si="38"/>
        <v>#VALUE!</v>
      </c>
      <c r="G186" s="965" t="e">
        <f t="shared" si="39"/>
        <v>#VALUE!</v>
      </c>
      <c r="H186" s="965" t="e">
        <f t="shared" si="40"/>
        <v>#VALUE!</v>
      </c>
      <c r="M186" s="968">
        <v>129</v>
      </c>
      <c r="N186" s="985"/>
      <c r="O186" s="986"/>
      <c r="P186" s="986"/>
      <c r="Q186" s="986"/>
      <c r="R186" s="986"/>
      <c r="S186" s="986"/>
      <c r="T186" s="986"/>
    </row>
    <row r="187" spans="1:20">
      <c r="A187" s="965" t="e">
        <f>A186+30</f>
        <v>#VALUE!</v>
      </c>
      <c r="C187" s="971" t="e">
        <f t="shared" si="35"/>
        <v>#VALUE!</v>
      </c>
      <c r="D187" s="968" t="e">
        <f t="shared" si="36"/>
        <v>#VALUE!</v>
      </c>
      <c r="E187" s="963" t="e">
        <f t="shared" si="37"/>
        <v>#VALUE!</v>
      </c>
      <c r="F187" s="963" t="e">
        <f t="shared" si="38"/>
        <v>#VALUE!</v>
      </c>
      <c r="G187" s="965" t="e">
        <f t="shared" si="39"/>
        <v>#VALUE!</v>
      </c>
      <c r="H187" s="965" t="e">
        <f t="shared" si="40"/>
        <v>#VALUE!</v>
      </c>
      <c r="M187" s="968">
        <v>130</v>
      </c>
      <c r="N187" s="985"/>
      <c r="O187" s="986"/>
      <c r="P187" s="986"/>
      <c r="Q187" s="986"/>
      <c r="R187" s="986"/>
      <c r="S187" s="986"/>
      <c r="T187" s="986"/>
    </row>
    <row r="188" spans="1:20">
      <c r="A188" s="965" t="e">
        <f>A187+31</f>
        <v>#VALUE!</v>
      </c>
      <c r="C188" s="971" t="e">
        <f t="shared" si="35"/>
        <v>#VALUE!</v>
      </c>
      <c r="D188" s="968" t="e">
        <f t="shared" si="36"/>
        <v>#VALUE!</v>
      </c>
      <c r="E188" s="963" t="e">
        <f t="shared" si="37"/>
        <v>#VALUE!</v>
      </c>
      <c r="F188" s="963" t="e">
        <f t="shared" si="38"/>
        <v>#VALUE!</v>
      </c>
      <c r="G188" s="965" t="e">
        <f t="shared" si="39"/>
        <v>#VALUE!</v>
      </c>
      <c r="H188" s="965" t="e">
        <f t="shared" si="40"/>
        <v>#VALUE!</v>
      </c>
      <c r="M188" s="968">
        <v>131</v>
      </c>
      <c r="N188" s="985"/>
      <c r="O188" s="986"/>
      <c r="P188" s="986"/>
      <c r="Q188" s="986"/>
      <c r="R188" s="986"/>
      <c r="S188" s="986"/>
      <c r="T188" s="986"/>
    </row>
    <row r="189" spans="1:20">
      <c r="A189" s="965" t="e">
        <f>A188+31</f>
        <v>#VALUE!</v>
      </c>
      <c r="B189" s="963" t="b">
        <f>ISNA(VLOOKUP(A189,$E$4:$E$13,1,FALSE))</f>
        <v>0</v>
      </c>
      <c r="C189" s="971" t="e">
        <f t="shared" si="35"/>
        <v>#VALUE!</v>
      </c>
      <c r="D189" s="968" t="e">
        <f t="shared" si="36"/>
        <v>#VALUE!</v>
      </c>
      <c r="E189" s="963" t="e">
        <f t="shared" si="37"/>
        <v>#VALUE!</v>
      </c>
      <c r="F189" s="963" t="e">
        <f t="shared" si="38"/>
        <v>#VALUE!</v>
      </c>
      <c r="G189" s="965" t="e">
        <f t="shared" si="39"/>
        <v>#VALUE!</v>
      </c>
      <c r="H189" s="965" t="e">
        <f t="shared" si="40"/>
        <v>#VALUE!</v>
      </c>
      <c r="M189" s="968">
        <v>132</v>
      </c>
      <c r="N189" s="985"/>
      <c r="O189" s="986"/>
      <c r="P189" s="986"/>
      <c r="Q189" s="986"/>
      <c r="R189" s="986"/>
      <c r="S189" s="986"/>
      <c r="T189" s="986"/>
    </row>
    <row r="190" spans="1:20">
      <c r="A190" s="965" t="e">
        <f>IF(B189=TRUE,(A189+28),(A189+29))</f>
        <v>#VALUE!</v>
      </c>
      <c r="C190" s="971" t="e">
        <f t="shared" si="35"/>
        <v>#VALUE!</v>
      </c>
      <c r="D190" s="968" t="e">
        <f t="shared" si="36"/>
        <v>#VALUE!</v>
      </c>
      <c r="E190" s="963" t="e">
        <f t="shared" si="37"/>
        <v>#VALUE!</v>
      </c>
      <c r="F190" s="963" t="e">
        <f t="shared" si="38"/>
        <v>#VALUE!</v>
      </c>
      <c r="G190" s="965" t="e">
        <f t="shared" si="39"/>
        <v>#VALUE!</v>
      </c>
      <c r="H190" s="965" t="e">
        <f t="shared" si="40"/>
        <v>#VALUE!</v>
      </c>
      <c r="M190" s="968">
        <v>133</v>
      </c>
      <c r="N190" s="985"/>
      <c r="O190" s="986"/>
      <c r="P190" s="986"/>
      <c r="Q190" s="986"/>
      <c r="R190" s="986"/>
      <c r="S190" s="986"/>
      <c r="T190" s="986"/>
    </row>
    <row r="191" spans="1:20">
      <c r="A191" s="965" t="e">
        <f>A190+31</f>
        <v>#VALUE!</v>
      </c>
      <c r="C191" s="971" t="e">
        <f t="shared" si="35"/>
        <v>#VALUE!</v>
      </c>
      <c r="D191" s="968" t="e">
        <f t="shared" si="36"/>
        <v>#VALUE!</v>
      </c>
      <c r="E191" s="963" t="e">
        <f t="shared" si="37"/>
        <v>#VALUE!</v>
      </c>
      <c r="F191" s="963" t="e">
        <f t="shared" si="38"/>
        <v>#VALUE!</v>
      </c>
      <c r="G191" s="965" t="e">
        <f t="shared" si="39"/>
        <v>#VALUE!</v>
      </c>
      <c r="H191" s="965" t="e">
        <f t="shared" si="40"/>
        <v>#VALUE!</v>
      </c>
      <c r="M191" s="968">
        <v>134</v>
      </c>
      <c r="N191" s="985"/>
      <c r="O191" s="986"/>
      <c r="P191" s="986"/>
      <c r="Q191" s="986"/>
      <c r="R191" s="986"/>
      <c r="S191" s="986"/>
      <c r="T191" s="986"/>
    </row>
    <row r="192" spans="1:20">
      <c r="A192" s="965" t="e">
        <f>A191+30</f>
        <v>#VALUE!</v>
      </c>
      <c r="C192" s="971" t="e">
        <f t="shared" si="35"/>
        <v>#VALUE!</v>
      </c>
      <c r="D192" s="968" t="e">
        <f t="shared" si="36"/>
        <v>#VALUE!</v>
      </c>
      <c r="E192" s="963" t="e">
        <f t="shared" si="37"/>
        <v>#VALUE!</v>
      </c>
      <c r="F192" s="963" t="e">
        <f t="shared" si="38"/>
        <v>#VALUE!</v>
      </c>
      <c r="G192" s="965" t="e">
        <f t="shared" si="39"/>
        <v>#VALUE!</v>
      </c>
      <c r="H192" s="965" t="e">
        <f t="shared" si="40"/>
        <v>#VALUE!</v>
      </c>
      <c r="M192" s="968">
        <v>135</v>
      </c>
      <c r="N192" s="985"/>
      <c r="O192" s="986"/>
      <c r="P192" s="986"/>
      <c r="Q192" s="986"/>
      <c r="R192" s="986"/>
      <c r="S192" s="986"/>
      <c r="T192" s="986"/>
    </row>
    <row r="193" spans="1:20">
      <c r="A193" s="965" t="e">
        <f>A192+31</f>
        <v>#VALUE!</v>
      </c>
      <c r="C193" s="971" t="e">
        <f t="shared" si="35"/>
        <v>#VALUE!</v>
      </c>
      <c r="D193" s="968" t="e">
        <f t="shared" si="36"/>
        <v>#VALUE!</v>
      </c>
      <c r="E193" s="963" t="e">
        <f t="shared" si="37"/>
        <v>#VALUE!</v>
      </c>
      <c r="F193" s="963" t="e">
        <f t="shared" si="38"/>
        <v>#VALUE!</v>
      </c>
      <c r="G193" s="965" t="e">
        <f t="shared" si="39"/>
        <v>#VALUE!</v>
      </c>
      <c r="H193" s="965" t="e">
        <f t="shared" si="40"/>
        <v>#VALUE!</v>
      </c>
      <c r="M193" s="968">
        <v>136</v>
      </c>
      <c r="N193" s="985"/>
      <c r="O193" s="986"/>
      <c r="P193" s="986"/>
      <c r="Q193" s="986"/>
      <c r="R193" s="986"/>
      <c r="S193" s="986"/>
      <c r="T193" s="986"/>
    </row>
    <row r="194" spans="1:20">
      <c r="A194" s="965" t="e">
        <f>A193+30</f>
        <v>#VALUE!</v>
      </c>
      <c r="C194" s="971" t="e">
        <f t="shared" si="35"/>
        <v>#VALUE!</v>
      </c>
      <c r="D194" s="968" t="e">
        <f t="shared" si="36"/>
        <v>#VALUE!</v>
      </c>
      <c r="E194" s="963" t="e">
        <f t="shared" si="37"/>
        <v>#VALUE!</v>
      </c>
      <c r="F194" s="963" t="e">
        <f t="shared" si="38"/>
        <v>#VALUE!</v>
      </c>
      <c r="G194" s="965" t="e">
        <f t="shared" si="39"/>
        <v>#VALUE!</v>
      </c>
      <c r="H194" s="965" t="e">
        <f t="shared" si="40"/>
        <v>#VALUE!</v>
      </c>
      <c r="M194" s="968">
        <v>137</v>
      </c>
      <c r="N194" s="985"/>
      <c r="O194" s="986"/>
      <c r="P194" s="986"/>
      <c r="Q194" s="986"/>
      <c r="R194" s="986"/>
      <c r="S194" s="986"/>
      <c r="T194" s="986"/>
    </row>
    <row r="195" spans="1:20">
      <c r="A195" s="965" t="e">
        <f>A194+31</f>
        <v>#VALUE!</v>
      </c>
      <c r="C195" s="971" t="e">
        <f t="shared" si="35"/>
        <v>#VALUE!</v>
      </c>
      <c r="D195" s="968" t="e">
        <f t="shared" si="36"/>
        <v>#VALUE!</v>
      </c>
      <c r="E195" s="963" t="e">
        <f t="shared" si="37"/>
        <v>#VALUE!</v>
      </c>
      <c r="F195" s="963" t="e">
        <f t="shared" si="38"/>
        <v>#VALUE!</v>
      </c>
      <c r="G195" s="965" t="e">
        <f t="shared" si="39"/>
        <v>#VALUE!</v>
      </c>
      <c r="H195" s="965" t="e">
        <f t="shared" si="40"/>
        <v>#VALUE!</v>
      </c>
      <c r="M195" s="968">
        <v>138</v>
      </c>
      <c r="N195" s="985"/>
      <c r="O195" s="986"/>
      <c r="P195" s="986"/>
      <c r="Q195" s="986"/>
      <c r="R195" s="986"/>
      <c r="S195" s="986"/>
      <c r="T195" s="986"/>
    </row>
    <row r="196" spans="1:20">
      <c r="A196" s="965" t="e">
        <f>A195+31</f>
        <v>#VALUE!</v>
      </c>
      <c r="C196" s="971" t="e">
        <f t="shared" si="35"/>
        <v>#VALUE!</v>
      </c>
      <c r="D196" s="968" t="e">
        <f t="shared" si="36"/>
        <v>#VALUE!</v>
      </c>
      <c r="E196" s="963" t="e">
        <f t="shared" si="37"/>
        <v>#VALUE!</v>
      </c>
      <c r="F196" s="963" t="e">
        <f t="shared" si="38"/>
        <v>#VALUE!</v>
      </c>
      <c r="G196" s="965" t="e">
        <f t="shared" si="39"/>
        <v>#VALUE!</v>
      </c>
      <c r="H196" s="965" t="e">
        <f t="shared" si="40"/>
        <v>#VALUE!</v>
      </c>
      <c r="M196" s="968">
        <v>139</v>
      </c>
      <c r="N196" s="985"/>
      <c r="O196" s="986"/>
      <c r="P196" s="986"/>
      <c r="Q196" s="986"/>
      <c r="R196" s="986"/>
      <c r="S196" s="986"/>
      <c r="T196" s="986"/>
    </row>
    <row r="197" spans="1:20">
      <c r="A197" s="965" t="e">
        <f>A196+30</f>
        <v>#VALUE!</v>
      </c>
      <c r="C197" s="971" t="e">
        <f t="shared" si="35"/>
        <v>#VALUE!</v>
      </c>
      <c r="D197" s="968" t="e">
        <f t="shared" si="36"/>
        <v>#VALUE!</v>
      </c>
      <c r="E197" s="963" t="e">
        <f t="shared" si="37"/>
        <v>#VALUE!</v>
      </c>
      <c r="F197" s="963" t="e">
        <f t="shared" si="38"/>
        <v>#VALUE!</v>
      </c>
      <c r="G197" s="965" t="e">
        <f t="shared" si="39"/>
        <v>#VALUE!</v>
      </c>
      <c r="H197" s="965" t="e">
        <f t="shared" si="40"/>
        <v>#VALUE!</v>
      </c>
      <c r="M197" s="968">
        <v>140</v>
      </c>
      <c r="N197" s="985"/>
      <c r="O197" s="986"/>
      <c r="P197" s="986"/>
      <c r="Q197" s="986"/>
      <c r="R197" s="986"/>
      <c r="S197" s="986"/>
      <c r="T197" s="986"/>
    </row>
    <row r="198" spans="1:20">
      <c r="A198" s="965" t="e">
        <f>A197+31</f>
        <v>#VALUE!</v>
      </c>
      <c r="C198" s="971" t="e">
        <f t="shared" si="35"/>
        <v>#VALUE!</v>
      </c>
      <c r="D198" s="968" t="e">
        <f t="shared" si="36"/>
        <v>#VALUE!</v>
      </c>
      <c r="E198" s="963" t="e">
        <f t="shared" si="37"/>
        <v>#VALUE!</v>
      </c>
      <c r="F198" s="963" t="e">
        <f t="shared" si="38"/>
        <v>#VALUE!</v>
      </c>
      <c r="G198" s="965" t="e">
        <f t="shared" si="39"/>
        <v>#VALUE!</v>
      </c>
      <c r="H198" s="965" t="e">
        <f t="shared" si="40"/>
        <v>#VALUE!</v>
      </c>
      <c r="M198" s="968">
        <v>141</v>
      </c>
      <c r="N198" s="985"/>
      <c r="O198" s="986"/>
      <c r="P198" s="986"/>
      <c r="Q198" s="986"/>
      <c r="R198" s="986"/>
      <c r="S198" s="986"/>
      <c r="T198" s="986"/>
    </row>
    <row r="199" spans="1:20">
      <c r="A199" s="965" t="e">
        <f>A198+30</f>
        <v>#VALUE!</v>
      </c>
      <c r="C199" s="971" t="e">
        <f t="shared" si="35"/>
        <v>#VALUE!</v>
      </c>
      <c r="D199" s="968" t="e">
        <f t="shared" si="36"/>
        <v>#VALUE!</v>
      </c>
      <c r="E199" s="963" t="e">
        <f t="shared" si="37"/>
        <v>#VALUE!</v>
      </c>
      <c r="F199" s="963" t="e">
        <f t="shared" si="38"/>
        <v>#VALUE!</v>
      </c>
      <c r="G199" s="965" t="e">
        <f t="shared" si="39"/>
        <v>#VALUE!</v>
      </c>
      <c r="H199" s="965" t="e">
        <f t="shared" si="40"/>
        <v>#VALUE!</v>
      </c>
      <c r="M199" s="968">
        <v>142</v>
      </c>
      <c r="N199" s="985"/>
      <c r="O199" s="986"/>
      <c r="P199" s="986"/>
      <c r="Q199" s="986"/>
      <c r="R199" s="986"/>
      <c r="S199" s="986"/>
      <c r="T199" s="986"/>
    </row>
    <row r="200" spans="1:20">
      <c r="A200" s="965" t="e">
        <f>A199+31</f>
        <v>#VALUE!</v>
      </c>
      <c r="C200" s="971" t="e">
        <f t="shared" si="35"/>
        <v>#VALUE!</v>
      </c>
      <c r="D200" s="968" t="e">
        <f t="shared" si="36"/>
        <v>#VALUE!</v>
      </c>
      <c r="E200" s="963" t="e">
        <f t="shared" si="37"/>
        <v>#VALUE!</v>
      </c>
      <c r="F200" s="963" t="e">
        <f t="shared" si="38"/>
        <v>#VALUE!</v>
      </c>
      <c r="G200" s="965" t="e">
        <f t="shared" si="39"/>
        <v>#VALUE!</v>
      </c>
      <c r="H200" s="965" t="e">
        <f t="shared" si="40"/>
        <v>#VALUE!</v>
      </c>
      <c r="M200" s="968">
        <v>143</v>
      </c>
      <c r="N200" s="985"/>
      <c r="O200" s="986"/>
      <c r="P200" s="986"/>
      <c r="Q200" s="986"/>
      <c r="R200" s="986"/>
      <c r="S200" s="986"/>
      <c r="T200" s="986"/>
    </row>
    <row r="201" spans="1:20">
      <c r="A201" s="965" t="e">
        <f>A200+31</f>
        <v>#VALUE!</v>
      </c>
      <c r="B201" s="963" t="b">
        <f>ISNA(VLOOKUP(A201,$E$4:$E$13,1,FALSE))</f>
        <v>0</v>
      </c>
      <c r="C201" s="971" t="e">
        <f t="shared" si="35"/>
        <v>#VALUE!</v>
      </c>
      <c r="D201" s="968" t="e">
        <f t="shared" si="36"/>
        <v>#VALUE!</v>
      </c>
      <c r="E201" s="963" t="e">
        <f t="shared" si="37"/>
        <v>#VALUE!</v>
      </c>
      <c r="F201" s="963" t="e">
        <f t="shared" si="38"/>
        <v>#VALUE!</v>
      </c>
      <c r="G201" s="965" t="e">
        <f t="shared" si="39"/>
        <v>#VALUE!</v>
      </c>
      <c r="H201" s="965" t="e">
        <f t="shared" si="40"/>
        <v>#VALUE!</v>
      </c>
      <c r="M201" s="968">
        <v>144</v>
      </c>
      <c r="N201" s="985"/>
      <c r="O201" s="986"/>
      <c r="P201" s="986"/>
      <c r="Q201" s="986"/>
      <c r="R201" s="986"/>
      <c r="S201" s="986"/>
      <c r="T201" s="986"/>
    </row>
    <row r="202" spans="1:20">
      <c r="A202" s="965" t="e">
        <f>IF(B201=TRUE,(A201+28),(A201+29))</f>
        <v>#VALUE!</v>
      </c>
      <c r="C202" s="971" t="e">
        <f t="shared" si="35"/>
        <v>#VALUE!</v>
      </c>
      <c r="D202" s="968" t="e">
        <f t="shared" si="36"/>
        <v>#VALUE!</v>
      </c>
      <c r="E202" s="963" t="e">
        <f t="shared" si="37"/>
        <v>#VALUE!</v>
      </c>
      <c r="F202" s="963" t="e">
        <f t="shared" si="38"/>
        <v>#VALUE!</v>
      </c>
      <c r="G202" s="965" t="e">
        <f t="shared" si="39"/>
        <v>#VALUE!</v>
      </c>
      <c r="H202" s="965" t="e">
        <f t="shared" si="40"/>
        <v>#VALUE!</v>
      </c>
      <c r="M202" s="968">
        <v>145</v>
      </c>
      <c r="N202" s="985"/>
      <c r="O202" s="986"/>
      <c r="P202" s="986"/>
      <c r="Q202" s="986"/>
      <c r="R202" s="986"/>
      <c r="S202" s="986"/>
      <c r="T202" s="986"/>
    </row>
    <row r="203" spans="1:20">
      <c r="A203" s="965" t="e">
        <f>A202+31</f>
        <v>#VALUE!</v>
      </c>
      <c r="C203" s="971" t="e">
        <f t="shared" si="35"/>
        <v>#VALUE!</v>
      </c>
      <c r="D203" s="968" t="e">
        <f t="shared" si="36"/>
        <v>#VALUE!</v>
      </c>
      <c r="E203" s="963" t="e">
        <f t="shared" si="37"/>
        <v>#VALUE!</v>
      </c>
      <c r="F203" s="963" t="e">
        <f t="shared" si="38"/>
        <v>#VALUE!</v>
      </c>
      <c r="G203" s="965" t="e">
        <f t="shared" si="39"/>
        <v>#VALUE!</v>
      </c>
      <c r="H203" s="965" t="e">
        <f t="shared" si="40"/>
        <v>#VALUE!</v>
      </c>
      <c r="M203" s="968">
        <v>146</v>
      </c>
      <c r="N203" s="985"/>
      <c r="O203" s="986"/>
      <c r="P203" s="986"/>
      <c r="Q203" s="986"/>
      <c r="R203" s="986"/>
      <c r="S203" s="986"/>
      <c r="T203" s="986"/>
    </row>
    <row r="204" spans="1:20">
      <c r="A204" s="965" t="e">
        <f>A203+30</f>
        <v>#VALUE!</v>
      </c>
      <c r="C204" s="971" t="e">
        <f t="shared" si="35"/>
        <v>#VALUE!</v>
      </c>
      <c r="D204" s="968" t="e">
        <f t="shared" si="36"/>
        <v>#VALUE!</v>
      </c>
      <c r="E204" s="963" t="e">
        <f t="shared" si="37"/>
        <v>#VALUE!</v>
      </c>
      <c r="F204" s="963" t="e">
        <f t="shared" si="38"/>
        <v>#VALUE!</v>
      </c>
      <c r="G204" s="965" t="e">
        <f t="shared" si="39"/>
        <v>#VALUE!</v>
      </c>
      <c r="H204" s="965" t="e">
        <f t="shared" si="40"/>
        <v>#VALUE!</v>
      </c>
      <c r="M204" s="968">
        <v>147</v>
      </c>
      <c r="N204" s="985"/>
      <c r="O204" s="986"/>
      <c r="P204" s="986"/>
      <c r="Q204" s="986"/>
      <c r="R204" s="986"/>
      <c r="S204" s="986"/>
      <c r="T204" s="986"/>
    </row>
    <row r="205" spans="1:20">
      <c r="A205" s="965" t="e">
        <f>A204+31</f>
        <v>#VALUE!</v>
      </c>
      <c r="C205" s="971" t="e">
        <f t="shared" si="35"/>
        <v>#VALUE!</v>
      </c>
      <c r="D205" s="968" t="e">
        <f t="shared" si="36"/>
        <v>#VALUE!</v>
      </c>
      <c r="E205" s="963" t="e">
        <f t="shared" si="37"/>
        <v>#VALUE!</v>
      </c>
      <c r="F205" s="963" t="e">
        <f t="shared" si="38"/>
        <v>#VALUE!</v>
      </c>
      <c r="G205" s="965" t="e">
        <f t="shared" si="39"/>
        <v>#VALUE!</v>
      </c>
      <c r="H205" s="965" t="e">
        <f t="shared" si="40"/>
        <v>#VALUE!</v>
      </c>
      <c r="M205" s="968">
        <v>148</v>
      </c>
      <c r="N205" s="985"/>
      <c r="O205" s="986"/>
      <c r="P205" s="986"/>
      <c r="Q205" s="986"/>
      <c r="R205" s="986"/>
      <c r="S205" s="986"/>
      <c r="T205" s="986"/>
    </row>
    <row r="206" spans="1:20">
      <c r="A206" s="965" t="e">
        <f>A205+30</f>
        <v>#VALUE!</v>
      </c>
      <c r="C206" s="971" t="e">
        <f t="shared" si="35"/>
        <v>#VALUE!</v>
      </c>
      <c r="D206" s="968" t="e">
        <f t="shared" si="36"/>
        <v>#VALUE!</v>
      </c>
      <c r="E206" s="963" t="e">
        <f t="shared" si="37"/>
        <v>#VALUE!</v>
      </c>
      <c r="F206" s="963" t="e">
        <f t="shared" si="38"/>
        <v>#VALUE!</v>
      </c>
      <c r="G206" s="965" t="e">
        <f t="shared" si="39"/>
        <v>#VALUE!</v>
      </c>
      <c r="H206" s="965" t="e">
        <f t="shared" si="40"/>
        <v>#VALUE!</v>
      </c>
      <c r="M206" s="968">
        <v>149</v>
      </c>
      <c r="N206" s="985"/>
      <c r="O206" s="986"/>
      <c r="P206" s="986"/>
      <c r="Q206" s="986"/>
      <c r="R206" s="986"/>
      <c r="S206" s="986"/>
      <c r="T206" s="986"/>
    </row>
    <row r="207" spans="1:20">
      <c r="A207" s="965" t="e">
        <f>A206+31</f>
        <v>#VALUE!</v>
      </c>
      <c r="C207" s="971" t="e">
        <f t="shared" si="35"/>
        <v>#VALUE!</v>
      </c>
      <c r="D207" s="968" t="e">
        <f t="shared" si="36"/>
        <v>#VALUE!</v>
      </c>
      <c r="E207" s="963" t="e">
        <f t="shared" si="37"/>
        <v>#VALUE!</v>
      </c>
      <c r="F207" s="963" t="e">
        <f t="shared" si="38"/>
        <v>#VALUE!</v>
      </c>
      <c r="G207" s="965" t="e">
        <f t="shared" si="39"/>
        <v>#VALUE!</v>
      </c>
      <c r="H207" s="965" t="e">
        <f t="shared" si="40"/>
        <v>#VALUE!</v>
      </c>
      <c r="M207" s="968">
        <v>150</v>
      </c>
      <c r="N207" s="985"/>
      <c r="O207" s="986"/>
      <c r="P207" s="986"/>
      <c r="Q207" s="986"/>
      <c r="R207" s="986"/>
      <c r="S207" s="986"/>
      <c r="T207" s="986"/>
    </row>
    <row r="208" spans="1:20">
      <c r="A208" s="965" t="e">
        <f>A207+31</f>
        <v>#VALUE!</v>
      </c>
      <c r="C208" s="971" t="e">
        <f t="shared" si="35"/>
        <v>#VALUE!</v>
      </c>
      <c r="D208" s="968" t="e">
        <f t="shared" si="36"/>
        <v>#VALUE!</v>
      </c>
      <c r="E208" s="963" t="e">
        <f t="shared" si="37"/>
        <v>#VALUE!</v>
      </c>
      <c r="F208" s="963" t="e">
        <f t="shared" si="38"/>
        <v>#VALUE!</v>
      </c>
      <c r="G208" s="965" t="e">
        <f t="shared" si="39"/>
        <v>#VALUE!</v>
      </c>
      <c r="H208" s="965" t="e">
        <f t="shared" si="40"/>
        <v>#VALUE!</v>
      </c>
    </row>
    <row r="209" spans="1:8">
      <c r="A209" s="965" t="e">
        <f>A208+30</f>
        <v>#VALUE!</v>
      </c>
      <c r="C209" s="971" t="e">
        <f t="shared" si="35"/>
        <v>#VALUE!</v>
      </c>
      <c r="D209" s="968" t="e">
        <f t="shared" si="36"/>
        <v>#VALUE!</v>
      </c>
      <c r="E209" s="963" t="e">
        <f t="shared" si="37"/>
        <v>#VALUE!</v>
      </c>
      <c r="F209" s="963" t="e">
        <f t="shared" si="38"/>
        <v>#VALUE!</v>
      </c>
      <c r="G209" s="965" t="e">
        <f t="shared" si="39"/>
        <v>#VALUE!</v>
      </c>
      <c r="H209" s="965" t="e">
        <f t="shared" si="40"/>
        <v>#VALUE!</v>
      </c>
    </row>
    <row r="210" spans="1:8">
      <c r="A210" s="965" t="e">
        <f>A209+31</f>
        <v>#VALUE!</v>
      </c>
      <c r="C210" s="971" t="e">
        <f t="shared" si="35"/>
        <v>#VALUE!</v>
      </c>
      <c r="D210" s="968" t="e">
        <f t="shared" si="36"/>
        <v>#VALUE!</v>
      </c>
      <c r="E210" s="963" t="e">
        <f t="shared" si="37"/>
        <v>#VALUE!</v>
      </c>
      <c r="F210" s="963" t="e">
        <f t="shared" si="38"/>
        <v>#VALUE!</v>
      </c>
      <c r="G210" s="965" t="e">
        <f t="shared" si="39"/>
        <v>#VALUE!</v>
      </c>
      <c r="H210" s="965" t="e">
        <f t="shared" si="40"/>
        <v>#VALUE!</v>
      </c>
    </row>
    <row r="211" spans="1:8">
      <c r="A211" s="965" t="e">
        <f>A210+30</f>
        <v>#VALUE!</v>
      </c>
      <c r="C211" s="971" t="e">
        <f t="shared" si="35"/>
        <v>#VALUE!</v>
      </c>
      <c r="D211" s="968" t="e">
        <f t="shared" si="36"/>
        <v>#VALUE!</v>
      </c>
      <c r="E211" s="963" t="e">
        <f t="shared" si="37"/>
        <v>#VALUE!</v>
      </c>
      <c r="F211" s="963" t="e">
        <f t="shared" si="38"/>
        <v>#VALUE!</v>
      </c>
      <c r="G211" s="965" t="e">
        <f t="shared" si="39"/>
        <v>#VALUE!</v>
      </c>
      <c r="H211" s="965" t="e">
        <f t="shared" si="40"/>
        <v>#VALUE!</v>
      </c>
    </row>
    <row r="212" spans="1:8">
      <c r="A212" s="965" t="e">
        <f>A211+31</f>
        <v>#VALUE!</v>
      </c>
      <c r="C212" s="971" t="e">
        <f t="shared" si="35"/>
        <v>#VALUE!</v>
      </c>
      <c r="D212" s="968" t="e">
        <f t="shared" si="36"/>
        <v>#VALUE!</v>
      </c>
      <c r="E212" s="963" t="e">
        <f t="shared" si="37"/>
        <v>#VALUE!</v>
      </c>
      <c r="F212" s="963" t="e">
        <f t="shared" si="38"/>
        <v>#VALUE!</v>
      </c>
      <c r="G212" s="965" t="e">
        <f t="shared" si="39"/>
        <v>#VALUE!</v>
      </c>
      <c r="H212" s="965" t="e">
        <f t="shared" si="40"/>
        <v>#VALUE!</v>
      </c>
    </row>
    <row r="213" spans="1:8">
      <c r="A213" s="965" t="e">
        <f>A212+31</f>
        <v>#VALUE!</v>
      </c>
      <c r="B213" s="963" t="b">
        <f>ISNA(VLOOKUP(A213,$E$4:$E$13,1,FALSE))</f>
        <v>0</v>
      </c>
      <c r="C213" s="971" t="e">
        <f t="shared" ref="C213:C224" si="41">A213</f>
        <v>#VALUE!</v>
      </c>
      <c r="D213" s="968" t="e">
        <f t="shared" ref="D213:D224" si="42">IF(($P$23-C213)&lt;0,"",($P$23-C213))</f>
        <v>#VALUE!</v>
      </c>
      <c r="E213" s="963" t="e">
        <f t="shared" ref="E213:E224" si="43">IF(D213="","",RANK(D213,$D$20:$D$215,1))</f>
        <v>#VALUE!</v>
      </c>
      <c r="F213" s="963" t="e">
        <f t="shared" ref="F213:F224" si="44">IF(A213&lt;$L$37,$K$36,IF(A213&lt;$L$38,$K$37,IF(A213&lt;$L$39,$K$38,IF(A213&lt;$L$40,$K$39,IF(A213&lt;$L$41,$K$40,$K$41)))))</f>
        <v>#VALUE!</v>
      </c>
      <c r="G213" s="965" t="e">
        <f t="shared" ref="G213:G224" si="45">VLOOKUP(F213,$K$36:$L$41,2,FALSE)</f>
        <v>#VALUE!</v>
      </c>
      <c r="H213" s="965" t="e">
        <f t="shared" ref="H213:H224" si="46">A213</f>
        <v>#VALUE!</v>
      </c>
    </row>
    <row r="214" spans="1:8">
      <c r="A214" s="965" t="e">
        <f>IF(B213=TRUE,(A213+28),(A213+29))</f>
        <v>#VALUE!</v>
      </c>
      <c r="C214" s="971" t="e">
        <f t="shared" si="41"/>
        <v>#VALUE!</v>
      </c>
      <c r="D214" s="968" t="e">
        <f t="shared" si="42"/>
        <v>#VALUE!</v>
      </c>
      <c r="E214" s="963" t="e">
        <f t="shared" si="43"/>
        <v>#VALUE!</v>
      </c>
      <c r="F214" s="963" t="e">
        <f t="shared" si="44"/>
        <v>#VALUE!</v>
      </c>
      <c r="G214" s="965" t="e">
        <f t="shared" si="45"/>
        <v>#VALUE!</v>
      </c>
      <c r="H214" s="965" t="e">
        <f t="shared" si="46"/>
        <v>#VALUE!</v>
      </c>
    </row>
    <row r="215" spans="1:8">
      <c r="A215" s="965" t="e">
        <f>A214+31</f>
        <v>#VALUE!</v>
      </c>
      <c r="C215" s="971" t="e">
        <f t="shared" si="41"/>
        <v>#VALUE!</v>
      </c>
      <c r="D215" s="968" t="e">
        <f t="shared" si="42"/>
        <v>#VALUE!</v>
      </c>
      <c r="E215" s="963" t="e">
        <f t="shared" si="43"/>
        <v>#VALUE!</v>
      </c>
      <c r="F215" s="963" t="e">
        <f t="shared" si="44"/>
        <v>#VALUE!</v>
      </c>
      <c r="G215" s="965" t="e">
        <f t="shared" si="45"/>
        <v>#VALUE!</v>
      </c>
      <c r="H215" s="965" t="e">
        <f t="shared" si="46"/>
        <v>#VALUE!</v>
      </c>
    </row>
    <row r="216" spans="1:8">
      <c r="A216" s="965" t="e">
        <f>A215+30</f>
        <v>#VALUE!</v>
      </c>
      <c r="C216" s="971" t="e">
        <f t="shared" si="41"/>
        <v>#VALUE!</v>
      </c>
      <c r="D216" s="968" t="e">
        <f t="shared" si="42"/>
        <v>#VALUE!</v>
      </c>
      <c r="E216" s="963" t="e">
        <f t="shared" si="43"/>
        <v>#VALUE!</v>
      </c>
      <c r="F216" s="963" t="e">
        <f t="shared" si="44"/>
        <v>#VALUE!</v>
      </c>
      <c r="G216" s="965" t="e">
        <f t="shared" si="45"/>
        <v>#VALUE!</v>
      </c>
      <c r="H216" s="965" t="e">
        <f t="shared" si="46"/>
        <v>#VALUE!</v>
      </c>
    </row>
    <row r="217" spans="1:8">
      <c r="A217" s="965" t="e">
        <f>A216+31</f>
        <v>#VALUE!</v>
      </c>
      <c r="C217" s="971" t="e">
        <f t="shared" si="41"/>
        <v>#VALUE!</v>
      </c>
      <c r="D217" s="968" t="e">
        <f t="shared" si="42"/>
        <v>#VALUE!</v>
      </c>
      <c r="E217" s="963" t="e">
        <f t="shared" si="43"/>
        <v>#VALUE!</v>
      </c>
      <c r="F217" s="963" t="e">
        <f t="shared" si="44"/>
        <v>#VALUE!</v>
      </c>
      <c r="G217" s="965" t="e">
        <f t="shared" si="45"/>
        <v>#VALUE!</v>
      </c>
      <c r="H217" s="965" t="e">
        <f t="shared" si="46"/>
        <v>#VALUE!</v>
      </c>
    </row>
    <row r="218" spans="1:8">
      <c r="A218" s="965" t="e">
        <f>A217+30</f>
        <v>#VALUE!</v>
      </c>
      <c r="C218" s="971" t="e">
        <f t="shared" si="41"/>
        <v>#VALUE!</v>
      </c>
      <c r="D218" s="968" t="e">
        <f t="shared" si="42"/>
        <v>#VALUE!</v>
      </c>
      <c r="E218" s="963" t="e">
        <f t="shared" si="43"/>
        <v>#VALUE!</v>
      </c>
      <c r="F218" s="963" t="e">
        <f t="shared" si="44"/>
        <v>#VALUE!</v>
      </c>
      <c r="G218" s="965" t="e">
        <f t="shared" si="45"/>
        <v>#VALUE!</v>
      </c>
      <c r="H218" s="965" t="e">
        <f t="shared" si="46"/>
        <v>#VALUE!</v>
      </c>
    </row>
    <row r="219" spans="1:8">
      <c r="A219" s="965" t="e">
        <f>A218+31</f>
        <v>#VALUE!</v>
      </c>
      <c r="C219" s="971" t="e">
        <f t="shared" si="41"/>
        <v>#VALUE!</v>
      </c>
      <c r="D219" s="968" t="e">
        <f t="shared" si="42"/>
        <v>#VALUE!</v>
      </c>
      <c r="E219" s="963" t="e">
        <f t="shared" si="43"/>
        <v>#VALUE!</v>
      </c>
      <c r="F219" s="963" t="e">
        <f t="shared" si="44"/>
        <v>#VALUE!</v>
      </c>
      <c r="G219" s="965" t="e">
        <f t="shared" si="45"/>
        <v>#VALUE!</v>
      </c>
      <c r="H219" s="965" t="e">
        <f t="shared" si="46"/>
        <v>#VALUE!</v>
      </c>
    </row>
    <row r="220" spans="1:8">
      <c r="A220" s="965" t="e">
        <f>A219+31</f>
        <v>#VALUE!</v>
      </c>
      <c r="C220" s="971" t="e">
        <f t="shared" si="41"/>
        <v>#VALUE!</v>
      </c>
      <c r="D220" s="968" t="e">
        <f t="shared" si="42"/>
        <v>#VALUE!</v>
      </c>
      <c r="E220" s="963" t="e">
        <f t="shared" si="43"/>
        <v>#VALUE!</v>
      </c>
      <c r="F220" s="963" t="e">
        <f t="shared" si="44"/>
        <v>#VALUE!</v>
      </c>
      <c r="G220" s="965" t="e">
        <f t="shared" si="45"/>
        <v>#VALUE!</v>
      </c>
      <c r="H220" s="965" t="e">
        <f t="shared" si="46"/>
        <v>#VALUE!</v>
      </c>
    </row>
    <row r="221" spans="1:8">
      <c r="A221" s="965" t="e">
        <f>A220+30</f>
        <v>#VALUE!</v>
      </c>
      <c r="C221" s="971" t="e">
        <f t="shared" si="41"/>
        <v>#VALUE!</v>
      </c>
      <c r="D221" s="968" t="e">
        <f t="shared" si="42"/>
        <v>#VALUE!</v>
      </c>
      <c r="E221" s="963" t="e">
        <f t="shared" si="43"/>
        <v>#VALUE!</v>
      </c>
      <c r="F221" s="963" t="e">
        <f t="shared" si="44"/>
        <v>#VALUE!</v>
      </c>
      <c r="G221" s="965" t="e">
        <f t="shared" si="45"/>
        <v>#VALUE!</v>
      </c>
      <c r="H221" s="965" t="e">
        <f t="shared" si="46"/>
        <v>#VALUE!</v>
      </c>
    </row>
    <row r="222" spans="1:8">
      <c r="A222" s="965" t="e">
        <f>A221+31</f>
        <v>#VALUE!</v>
      </c>
      <c r="C222" s="971" t="e">
        <f t="shared" si="41"/>
        <v>#VALUE!</v>
      </c>
      <c r="D222" s="968" t="e">
        <f t="shared" si="42"/>
        <v>#VALUE!</v>
      </c>
      <c r="E222" s="963" t="e">
        <f t="shared" si="43"/>
        <v>#VALUE!</v>
      </c>
      <c r="F222" s="963" t="e">
        <f t="shared" si="44"/>
        <v>#VALUE!</v>
      </c>
      <c r="G222" s="965" t="e">
        <f t="shared" si="45"/>
        <v>#VALUE!</v>
      </c>
      <c r="H222" s="965" t="e">
        <f t="shared" si="46"/>
        <v>#VALUE!</v>
      </c>
    </row>
    <row r="223" spans="1:8">
      <c r="A223" s="965" t="e">
        <f>A222+30</f>
        <v>#VALUE!</v>
      </c>
      <c r="C223" s="971" t="e">
        <f t="shared" si="41"/>
        <v>#VALUE!</v>
      </c>
      <c r="D223" s="968" t="e">
        <f t="shared" si="42"/>
        <v>#VALUE!</v>
      </c>
      <c r="E223" s="963" t="e">
        <f t="shared" si="43"/>
        <v>#VALUE!</v>
      </c>
      <c r="F223" s="963" t="e">
        <f t="shared" si="44"/>
        <v>#VALUE!</v>
      </c>
      <c r="G223" s="965" t="e">
        <f t="shared" si="45"/>
        <v>#VALUE!</v>
      </c>
      <c r="H223" s="965" t="e">
        <f t="shared" si="46"/>
        <v>#VALUE!</v>
      </c>
    </row>
    <row r="224" spans="1:8">
      <c r="A224" s="965" t="e">
        <f>A223+31</f>
        <v>#VALUE!</v>
      </c>
      <c r="C224" s="971" t="e">
        <f t="shared" si="41"/>
        <v>#VALUE!</v>
      </c>
      <c r="D224" s="968" t="e">
        <f t="shared" si="42"/>
        <v>#VALUE!</v>
      </c>
      <c r="E224" s="963" t="e">
        <f t="shared" si="43"/>
        <v>#VALUE!</v>
      </c>
      <c r="F224" s="963" t="e">
        <f t="shared" si="44"/>
        <v>#VALUE!</v>
      </c>
      <c r="G224" s="965" t="e">
        <f t="shared" si="45"/>
        <v>#VALUE!</v>
      </c>
      <c r="H224" s="965" t="e">
        <f t="shared" si="46"/>
        <v>#VALUE!</v>
      </c>
    </row>
    <row r="225" spans="1:8">
      <c r="A225" s="965" t="e">
        <f>A224+31</f>
        <v>#VALUE!</v>
      </c>
      <c r="B225" s="963" t="b">
        <f>ISNA(VLOOKUP(A225,$E$4:$E$13,1,FALSE))</f>
        <v>0</v>
      </c>
      <c r="C225" s="971" t="e">
        <f t="shared" ref="C225:C287" si="47">A225</f>
        <v>#VALUE!</v>
      </c>
      <c r="D225" s="968" t="e">
        <f t="shared" ref="D225:D287" si="48">IF(($P$23-C225)&lt;0,"",($P$23-C225))</f>
        <v>#VALUE!</v>
      </c>
      <c r="E225" s="963" t="e">
        <f t="shared" ref="E225:E287" si="49">IF(D225="","",RANK(D225,$D$20:$D$215,1))</f>
        <v>#VALUE!</v>
      </c>
      <c r="F225" s="963" t="e">
        <f t="shared" ref="F225:F287" si="50">IF(A225&lt;$L$37,$K$36,IF(A225&lt;$L$38,$K$37,IF(A225&lt;$L$39,$K$38,IF(A225&lt;$L$40,$K$39,IF(A225&lt;$L$41,$K$40,$K$41)))))</f>
        <v>#VALUE!</v>
      </c>
      <c r="G225" s="965" t="e">
        <f t="shared" ref="G225:G287" si="51">VLOOKUP(F225,$K$36:$L$41,2,FALSE)</f>
        <v>#VALUE!</v>
      </c>
      <c r="H225" s="965" t="e">
        <f t="shared" ref="H225:H287" si="52">A225</f>
        <v>#VALUE!</v>
      </c>
    </row>
    <row r="226" spans="1:8">
      <c r="A226" s="965" t="e">
        <f>IF(B225=TRUE,(A225+28),(A225+29))</f>
        <v>#VALUE!</v>
      </c>
      <c r="C226" s="971" t="e">
        <f t="shared" si="47"/>
        <v>#VALUE!</v>
      </c>
      <c r="D226" s="968" t="e">
        <f t="shared" si="48"/>
        <v>#VALUE!</v>
      </c>
      <c r="E226" s="963" t="e">
        <f t="shared" si="49"/>
        <v>#VALUE!</v>
      </c>
      <c r="F226" s="963" t="e">
        <f t="shared" si="50"/>
        <v>#VALUE!</v>
      </c>
      <c r="G226" s="965" t="e">
        <f t="shared" si="51"/>
        <v>#VALUE!</v>
      </c>
      <c r="H226" s="965" t="e">
        <f t="shared" si="52"/>
        <v>#VALUE!</v>
      </c>
    </row>
    <row r="227" spans="1:8">
      <c r="A227" s="965" t="e">
        <f>A226+31</f>
        <v>#VALUE!</v>
      </c>
      <c r="C227" s="971" t="e">
        <f t="shared" si="47"/>
        <v>#VALUE!</v>
      </c>
      <c r="D227" s="968" t="e">
        <f t="shared" si="48"/>
        <v>#VALUE!</v>
      </c>
      <c r="E227" s="963" t="e">
        <f t="shared" si="49"/>
        <v>#VALUE!</v>
      </c>
      <c r="F227" s="963" t="e">
        <f t="shared" si="50"/>
        <v>#VALUE!</v>
      </c>
      <c r="G227" s="965" t="e">
        <f t="shared" si="51"/>
        <v>#VALUE!</v>
      </c>
      <c r="H227" s="965" t="e">
        <f t="shared" si="52"/>
        <v>#VALUE!</v>
      </c>
    </row>
    <row r="228" spans="1:8">
      <c r="A228" s="965" t="e">
        <f>A227+30</f>
        <v>#VALUE!</v>
      </c>
      <c r="C228" s="971" t="e">
        <f t="shared" si="47"/>
        <v>#VALUE!</v>
      </c>
      <c r="D228" s="968" t="e">
        <f t="shared" si="48"/>
        <v>#VALUE!</v>
      </c>
      <c r="E228" s="963" t="e">
        <f t="shared" si="49"/>
        <v>#VALUE!</v>
      </c>
      <c r="F228" s="963" t="e">
        <f t="shared" si="50"/>
        <v>#VALUE!</v>
      </c>
      <c r="G228" s="965" t="e">
        <f t="shared" si="51"/>
        <v>#VALUE!</v>
      </c>
      <c r="H228" s="965" t="e">
        <f t="shared" si="52"/>
        <v>#VALUE!</v>
      </c>
    </row>
    <row r="229" spans="1:8">
      <c r="A229" s="965" t="e">
        <f>A228+31</f>
        <v>#VALUE!</v>
      </c>
      <c r="C229" s="971" t="e">
        <f t="shared" si="47"/>
        <v>#VALUE!</v>
      </c>
      <c r="D229" s="968" t="e">
        <f t="shared" si="48"/>
        <v>#VALUE!</v>
      </c>
      <c r="E229" s="963" t="e">
        <f t="shared" si="49"/>
        <v>#VALUE!</v>
      </c>
      <c r="F229" s="963" t="e">
        <f t="shared" si="50"/>
        <v>#VALUE!</v>
      </c>
      <c r="G229" s="965" t="e">
        <f t="shared" si="51"/>
        <v>#VALUE!</v>
      </c>
      <c r="H229" s="965" t="e">
        <f t="shared" si="52"/>
        <v>#VALUE!</v>
      </c>
    </row>
    <row r="230" spans="1:8">
      <c r="A230" s="965" t="e">
        <f>A229+30</f>
        <v>#VALUE!</v>
      </c>
      <c r="C230" s="971" t="e">
        <f t="shared" si="47"/>
        <v>#VALUE!</v>
      </c>
      <c r="D230" s="968" t="e">
        <f t="shared" si="48"/>
        <v>#VALUE!</v>
      </c>
      <c r="E230" s="963" t="e">
        <f t="shared" si="49"/>
        <v>#VALUE!</v>
      </c>
      <c r="F230" s="963" t="e">
        <f t="shared" si="50"/>
        <v>#VALUE!</v>
      </c>
      <c r="G230" s="965" t="e">
        <f t="shared" si="51"/>
        <v>#VALUE!</v>
      </c>
      <c r="H230" s="965" t="e">
        <f t="shared" si="52"/>
        <v>#VALUE!</v>
      </c>
    </row>
    <row r="231" spans="1:8">
      <c r="A231" s="965" t="e">
        <f>A230+31</f>
        <v>#VALUE!</v>
      </c>
      <c r="C231" s="971" t="e">
        <f t="shared" si="47"/>
        <v>#VALUE!</v>
      </c>
      <c r="D231" s="968" t="e">
        <f t="shared" si="48"/>
        <v>#VALUE!</v>
      </c>
      <c r="E231" s="963" t="e">
        <f t="shared" si="49"/>
        <v>#VALUE!</v>
      </c>
      <c r="F231" s="963" t="e">
        <f t="shared" si="50"/>
        <v>#VALUE!</v>
      </c>
      <c r="G231" s="965" t="e">
        <f t="shared" si="51"/>
        <v>#VALUE!</v>
      </c>
      <c r="H231" s="965" t="e">
        <f t="shared" si="52"/>
        <v>#VALUE!</v>
      </c>
    </row>
    <row r="232" spans="1:8">
      <c r="A232" s="965" t="e">
        <f>A231+31</f>
        <v>#VALUE!</v>
      </c>
      <c r="C232" s="971" t="e">
        <f t="shared" si="47"/>
        <v>#VALUE!</v>
      </c>
      <c r="D232" s="968" t="e">
        <f t="shared" si="48"/>
        <v>#VALUE!</v>
      </c>
      <c r="E232" s="963" t="e">
        <f t="shared" si="49"/>
        <v>#VALUE!</v>
      </c>
      <c r="F232" s="963" t="e">
        <f t="shared" si="50"/>
        <v>#VALUE!</v>
      </c>
      <c r="G232" s="965" t="e">
        <f t="shared" si="51"/>
        <v>#VALUE!</v>
      </c>
      <c r="H232" s="965" t="e">
        <f t="shared" si="52"/>
        <v>#VALUE!</v>
      </c>
    </row>
    <row r="233" spans="1:8">
      <c r="A233" s="965" t="e">
        <f>A232+30</f>
        <v>#VALUE!</v>
      </c>
      <c r="C233" s="971" t="e">
        <f t="shared" si="47"/>
        <v>#VALUE!</v>
      </c>
      <c r="D233" s="968" t="e">
        <f t="shared" si="48"/>
        <v>#VALUE!</v>
      </c>
      <c r="E233" s="963" t="e">
        <f t="shared" si="49"/>
        <v>#VALUE!</v>
      </c>
      <c r="F233" s="963" t="e">
        <f t="shared" si="50"/>
        <v>#VALUE!</v>
      </c>
      <c r="G233" s="965" t="e">
        <f t="shared" si="51"/>
        <v>#VALUE!</v>
      </c>
      <c r="H233" s="965" t="e">
        <f t="shared" si="52"/>
        <v>#VALUE!</v>
      </c>
    </row>
    <row r="234" spans="1:8">
      <c r="A234" s="965" t="e">
        <f>A233+31</f>
        <v>#VALUE!</v>
      </c>
      <c r="C234" s="971" t="e">
        <f t="shared" si="47"/>
        <v>#VALUE!</v>
      </c>
      <c r="D234" s="968" t="e">
        <f t="shared" si="48"/>
        <v>#VALUE!</v>
      </c>
      <c r="E234" s="963" t="e">
        <f t="shared" si="49"/>
        <v>#VALUE!</v>
      </c>
      <c r="F234" s="963" t="e">
        <f t="shared" si="50"/>
        <v>#VALUE!</v>
      </c>
      <c r="G234" s="965" t="e">
        <f t="shared" si="51"/>
        <v>#VALUE!</v>
      </c>
      <c r="H234" s="965" t="e">
        <f t="shared" si="52"/>
        <v>#VALUE!</v>
      </c>
    </row>
    <row r="235" spans="1:8">
      <c r="A235" s="965" t="e">
        <f>A234+30</f>
        <v>#VALUE!</v>
      </c>
      <c r="C235" s="971" t="e">
        <f t="shared" si="47"/>
        <v>#VALUE!</v>
      </c>
      <c r="D235" s="968" t="e">
        <f t="shared" si="48"/>
        <v>#VALUE!</v>
      </c>
      <c r="E235" s="963" t="e">
        <f t="shared" si="49"/>
        <v>#VALUE!</v>
      </c>
      <c r="F235" s="963" t="e">
        <f t="shared" si="50"/>
        <v>#VALUE!</v>
      </c>
      <c r="G235" s="965" t="e">
        <f t="shared" si="51"/>
        <v>#VALUE!</v>
      </c>
      <c r="H235" s="965" t="e">
        <f t="shared" si="52"/>
        <v>#VALUE!</v>
      </c>
    </row>
    <row r="236" spans="1:8">
      <c r="A236" s="965" t="e">
        <f>A235+31</f>
        <v>#VALUE!</v>
      </c>
      <c r="C236" s="971" t="e">
        <f t="shared" si="47"/>
        <v>#VALUE!</v>
      </c>
      <c r="D236" s="968" t="e">
        <f t="shared" si="48"/>
        <v>#VALUE!</v>
      </c>
      <c r="E236" s="963" t="e">
        <f t="shared" si="49"/>
        <v>#VALUE!</v>
      </c>
      <c r="F236" s="963" t="e">
        <f t="shared" si="50"/>
        <v>#VALUE!</v>
      </c>
      <c r="G236" s="965" t="e">
        <f t="shared" si="51"/>
        <v>#VALUE!</v>
      </c>
      <c r="H236" s="965" t="e">
        <f t="shared" si="52"/>
        <v>#VALUE!</v>
      </c>
    </row>
    <row r="237" spans="1:8">
      <c r="A237" s="965" t="e">
        <f>A236+31</f>
        <v>#VALUE!</v>
      </c>
      <c r="B237" s="963" t="b">
        <f>ISNA(VLOOKUP(A237,$E$4:$E$13,1,FALSE))</f>
        <v>0</v>
      </c>
      <c r="C237" s="971" t="e">
        <f t="shared" si="47"/>
        <v>#VALUE!</v>
      </c>
      <c r="D237" s="968" t="e">
        <f t="shared" si="48"/>
        <v>#VALUE!</v>
      </c>
      <c r="E237" s="963" t="e">
        <f t="shared" si="49"/>
        <v>#VALUE!</v>
      </c>
      <c r="F237" s="963" t="e">
        <f t="shared" si="50"/>
        <v>#VALUE!</v>
      </c>
      <c r="G237" s="965" t="e">
        <f t="shared" si="51"/>
        <v>#VALUE!</v>
      </c>
      <c r="H237" s="965" t="e">
        <f t="shared" si="52"/>
        <v>#VALUE!</v>
      </c>
    </row>
    <row r="238" spans="1:8">
      <c r="A238" s="965" t="e">
        <f>IF(B237=TRUE,(A237+28),(A237+29))</f>
        <v>#VALUE!</v>
      </c>
      <c r="C238" s="971" t="e">
        <f t="shared" si="47"/>
        <v>#VALUE!</v>
      </c>
      <c r="D238" s="968" t="e">
        <f t="shared" si="48"/>
        <v>#VALUE!</v>
      </c>
      <c r="E238" s="963" t="e">
        <f t="shared" si="49"/>
        <v>#VALUE!</v>
      </c>
      <c r="F238" s="963" t="e">
        <f t="shared" si="50"/>
        <v>#VALUE!</v>
      </c>
      <c r="G238" s="965" t="e">
        <f t="shared" si="51"/>
        <v>#VALUE!</v>
      </c>
      <c r="H238" s="965" t="e">
        <f t="shared" si="52"/>
        <v>#VALUE!</v>
      </c>
    </row>
    <row r="239" spans="1:8">
      <c r="A239" s="965" t="e">
        <f>A238+31</f>
        <v>#VALUE!</v>
      </c>
      <c r="C239" s="971" t="e">
        <f t="shared" si="47"/>
        <v>#VALUE!</v>
      </c>
      <c r="D239" s="968" t="e">
        <f t="shared" si="48"/>
        <v>#VALUE!</v>
      </c>
      <c r="E239" s="963" t="e">
        <f t="shared" si="49"/>
        <v>#VALUE!</v>
      </c>
      <c r="F239" s="963" t="e">
        <f t="shared" si="50"/>
        <v>#VALUE!</v>
      </c>
      <c r="G239" s="965" t="e">
        <f t="shared" si="51"/>
        <v>#VALUE!</v>
      </c>
      <c r="H239" s="965" t="e">
        <f t="shared" si="52"/>
        <v>#VALUE!</v>
      </c>
    </row>
    <row r="240" spans="1:8">
      <c r="A240" s="965" t="e">
        <f>A239+30</f>
        <v>#VALUE!</v>
      </c>
      <c r="C240" s="971" t="e">
        <f t="shared" si="47"/>
        <v>#VALUE!</v>
      </c>
      <c r="D240" s="968" t="e">
        <f t="shared" si="48"/>
        <v>#VALUE!</v>
      </c>
      <c r="E240" s="963" t="e">
        <f t="shared" si="49"/>
        <v>#VALUE!</v>
      </c>
      <c r="F240" s="963" t="e">
        <f t="shared" si="50"/>
        <v>#VALUE!</v>
      </c>
      <c r="G240" s="965" t="e">
        <f t="shared" si="51"/>
        <v>#VALUE!</v>
      </c>
      <c r="H240" s="965" t="e">
        <f t="shared" si="52"/>
        <v>#VALUE!</v>
      </c>
    </row>
    <row r="241" spans="1:8">
      <c r="A241" s="965" t="e">
        <f>A240+31</f>
        <v>#VALUE!</v>
      </c>
      <c r="C241" s="971" t="e">
        <f t="shared" si="47"/>
        <v>#VALUE!</v>
      </c>
      <c r="D241" s="968" t="e">
        <f t="shared" si="48"/>
        <v>#VALUE!</v>
      </c>
      <c r="E241" s="963" t="e">
        <f t="shared" si="49"/>
        <v>#VALUE!</v>
      </c>
      <c r="F241" s="963" t="e">
        <f t="shared" si="50"/>
        <v>#VALUE!</v>
      </c>
      <c r="G241" s="965" t="e">
        <f t="shared" si="51"/>
        <v>#VALUE!</v>
      </c>
      <c r="H241" s="965" t="e">
        <f t="shared" si="52"/>
        <v>#VALUE!</v>
      </c>
    </row>
    <row r="242" spans="1:8">
      <c r="A242" s="965" t="e">
        <f>A241+30</f>
        <v>#VALUE!</v>
      </c>
      <c r="C242" s="971" t="e">
        <f t="shared" si="47"/>
        <v>#VALUE!</v>
      </c>
      <c r="D242" s="968" t="e">
        <f t="shared" si="48"/>
        <v>#VALUE!</v>
      </c>
      <c r="E242" s="963" t="e">
        <f t="shared" si="49"/>
        <v>#VALUE!</v>
      </c>
      <c r="F242" s="963" t="e">
        <f t="shared" si="50"/>
        <v>#VALUE!</v>
      </c>
      <c r="G242" s="965" t="e">
        <f t="shared" si="51"/>
        <v>#VALUE!</v>
      </c>
      <c r="H242" s="965" t="e">
        <f t="shared" si="52"/>
        <v>#VALUE!</v>
      </c>
    </row>
    <row r="243" spans="1:8">
      <c r="A243" s="965" t="e">
        <f>A242+31</f>
        <v>#VALUE!</v>
      </c>
      <c r="C243" s="971" t="e">
        <f t="shared" si="47"/>
        <v>#VALUE!</v>
      </c>
      <c r="D243" s="968" t="e">
        <f t="shared" si="48"/>
        <v>#VALUE!</v>
      </c>
      <c r="E243" s="963" t="e">
        <f t="shared" si="49"/>
        <v>#VALUE!</v>
      </c>
      <c r="F243" s="963" t="e">
        <f t="shared" si="50"/>
        <v>#VALUE!</v>
      </c>
      <c r="G243" s="965" t="e">
        <f t="shared" si="51"/>
        <v>#VALUE!</v>
      </c>
      <c r="H243" s="965" t="e">
        <f t="shared" si="52"/>
        <v>#VALUE!</v>
      </c>
    </row>
    <row r="244" spans="1:8">
      <c r="A244" s="965" t="e">
        <f>A243+31</f>
        <v>#VALUE!</v>
      </c>
      <c r="C244" s="971" t="e">
        <f t="shared" si="47"/>
        <v>#VALUE!</v>
      </c>
      <c r="D244" s="968" t="e">
        <f t="shared" si="48"/>
        <v>#VALUE!</v>
      </c>
      <c r="E244" s="963" t="e">
        <f t="shared" si="49"/>
        <v>#VALUE!</v>
      </c>
      <c r="F244" s="963" t="e">
        <f t="shared" si="50"/>
        <v>#VALUE!</v>
      </c>
      <c r="G244" s="965" t="e">
        <f t="shared" si="51"/>
        <v>#VALUE!</v>
      </c>
      <c r="H244" s="965" t="e">
        <f t="shared" si="52"/>
        <v>#VALUE!</v>
      </c>
    </row>
    <row r="245" spans="1:8">
      <c r="A245" s="965" t="e">
        <f>A244+30</f>
        <v>#VALUE!</v>
      </c>
      <c r="C245" s="971" t="e">
        <f t="shared" si="47"/>
        <v>#VALUE!</v>
      </c>
      <c r="D245" s="968" t="e">
        <f t="shared" si="48"/>
        <v>#VALUE!</v>
      </c>
      <c r="E245" s="963" t="e">
        <f t="shared" si="49"/>
        <v>#VALUE!</v>
      </c>
      <c r="F245" s="963" t="e">
        <f t="shared" si="50"/>
        <v>#VALUE!</v>
      </c>
      <c r="G245" s="965" t="e">
        <f t="shared" si="51"/>
        <v>#VALUE!</v>
      </c>
      <c r="H245" s="965" t="e">
        <f t="shared" si="52"/>
        <v>#VALUE!</v>
      </c>
    </row>
    <row r="246" spans="1:8">
      <c r="A246" s="965" t="e">
        <f>A245+31</f>
        <v>#VALUE!</v>
      </c>
      <c r="C246" s="971" t="e">
        <f t="shared" si="47"/>
        <v>#VALUE!</v>
      </c>
      <c r="D246" s="968" t="e">
        <f t="shared" si="48"/>
        <v>#VALUE!</v>
      </c>
      <c r="E246" s="963" t="e">
        <f t="shared" si="49"/>
        <v>#VALUE!</v>
      </c>
      <c r="F246" s="963" t="e">
        <f t="shared" si="50"/>
        <v>#VALUE!</v>
      </c>
      <c r="G246" s="965" t="e">
        <f t="shared" si="51"/>
        <v>#VALUE!</v>
      </c>
      <c r="H246" s="965" t="e">
        <f t="shared" si="52"/>
        <v>#VALUE!</v>
      </c>
    </row>
    <row r="247" spans="1:8">
      <c r="A247" s="965" t="e">
        <f>A246+30</f>
        <v>#VALUE!</v>
      </c>
      <c r="C247" s="971" t="e">
        <f t="shared" si="47"/>
        <v>#VALUE!</v>
      </c>
      <c r="D247" s="968" t="e">
        <f t="shared" si="48"/>
        <v>#VALUE!</v>
      </c>
      <c r="E247" s="963" t="e">
        <f t="shared" si="49"/>
        <v>#VALUE!</v>
      </c>
      <c r="F247" s="963" t="e">
        <f t="shared" si="50"/>
        <v>#VALUE!</v>
      </c>
      <c r="G247" s="965" t="e">
        <f t="shared" si="51"/>
        <v>#VALUE!</v>
      </c>
      <c r="H247" s="965" t="e">
        <f t="shared" si="52"/>
        <v>#VALUE!</v>
      </c>
    </row>
    <row r="248" spans="1:8">
      <c r="A248" s="965" t="e">
        <f>A247+31</f>
        <v>#VALUE!</v>
      </c>
      <c r="C248" s="971" t="e">
        <f t="shared" si="47"/>
        <v>#VALUE!</v>
      </c>
      <c r="D248" s="968" t="e">
        <f t="shared" si="48"/>
        <v>#VALUE!</v>
      </c>
      <c r="E248" s="963" t="e">
        <f t="shared" si="49"/>
        <v>#VALUE!</v>
      </c>
      <c r="F248" s="963" t="e">
        <f t="shared" si="50"/>
        <v>#VALUE!</v>
      </c>
      <c r="G248" s="965" t="e">
        <f t="shared" si="51"/>
        <v>#VALUE!</v>
      </c>
      <c r="H248" s="965" t="e">
        <f t="shared" si="52"/>
        <v>#VALUE!</v>
      </c>
    </row>
    <row r="249" spans="1:8">
      <c r="A249" s="965" t="e">
        <f>A248+31</f>
        <v>#VALUE!</v>
      </c>
      <c r="B249" s="963" t="b">
        <f>ISNA(VLOOKUP(A249,$E$4:$E$13,1,FALSE))</f>
        <v>0</v>
      </c>
      <c r="C249" s="971" t="e">
        <f t="shared" si="47"/>
        <v>#VALUE!</v>
      </c>
      <c r="D249" s="968" t="e">
        <f t="shared" si="48"/>
        <v>#VALUE!</v>
      </c>
      <c r="E249" s="963" t="e">
        <f t="shared" si="49"/>
        <v>#VALUE!</v>
      </c>
      <c r="F249" s="963" t="e">
        <f t="shared" si="50"/>
        <v>#VALUE!</v>
      </c>
      <c r="G249" s="965" t="e">
        <f t="shared" si="51"/>
        <v>#VALUE!</v>
      </c>
      <c r="H249" s="965" t="e">
        <f t="shared" si="52"/>
        <v>#VALUE!</v>
      </c>
    </row>
    <row r="250" spans="1:8">
      <c r="A250" s="965" t="e">
        <f>IF(B249=TRUE,(A249+28),(A249+29))</f>
        <v>#VALUE!</v>
      </c>
      <c r="C250" s="971" t="e">
        <f t="shared" si="47"/>
        <v>#VALUE!</v>
      </c>
      <c r="D250" s="968" t="e">
        <f t="shared" si="48"/>
        <v>#VALUE!</v>
      </c>
      <c r="E250" s="963" t="e">
        <f t="shared" si="49"/>
        <v>#VALUE!</v>
      </c>
      <c r="F250" s="963" t="e">
        <f t="shared" si="50"/>
        <v>#VALUE!</v>
      </c>
      <c r="G250" s="965" t="e">
        <f t="shared" si="51"/>
        <v>#VALUE!</v>
      </c>
      <c r="H250" s="965" t="e">
        <f t="shared" si="52"/>
        <v>#VALUE!</v>
      </c>
    </row>
    <row r="251" spans="1:8">
      <c r="A251" s="965" t="e">
        <f>A250+31</f>
        <v>#VALUE!</v>
      </c>
      <c r="C251" s="971" t="e">
        <f t="shared" si="47"/>
        <v>#VALUE!</v>
      </c>
      <c r="D251" s="968" t="e">
        <f t="shared" si="48"/>
        <v>#VALUE!</v>
      </c>
      <c r="E251" s="963" t="e">
        <f t="shared" si="49"/>
        <v>#VALUE!</v>
      </c>
      <c r="F251" s="963" t="e">
        <f t="shared" si="50"/>
        <v>#VALUE!</v>
      </c>
      <c r="G251" s="965" t="e">
        <f t="shared" si="51"/>
        <v>#VALUE!</v>
      </c>
      <c r="H251" s="965" t="e">
        <f t="shared" si="52"/>
        <v>#VALUE!</v>
      </c>
    </row>
    <row r="252" spans="1:8">
      <c r="A252" s="965" t="e">
        <f>A251+30</f>
        <v>#VALUE!</v>
      </c>
      <c r="C252" s="971" t="e">
        <f t="shared" si="47"/>
        <v>#VALUE!</v>
      </c>
      <c r="D252" s="968" t="e">
        <f t="shared" si="48"/>
        <v>#VALUE!</v>
      </c>
      <c r="E252" s="963" t="e">
        <f t="shared" si="49"/>
        <v>#VALUE!</v>
      </c>
      <c r="F252" s="963" t="e">
        <f t="shared" si="50"/>
        <v>#VALUE!</v>
      </c>
      <c r="G252" s="965" t="e">
        <f t="shared" si="51"/>
        <v>#VALUE!</v>
      </c>
      <c r="H252" s="965" t="e">
        <f t="shared" si="52"/>
        <v>#VALUE!</v>
      </c>
    </row>
    <row r="253" spans="1:8">
      <c r="A253" s="965" t="e">
        <f>A252+31</f>
        <v>#VALUE!</v>
      </c>
      <c r="C253" s="971" t="e">
        <f t="shared" si="47"/>
        <v>#VALUE!</v>
      </c>
      <c r="D253" s="968" t="e">
        <f t="shared" si="48"/>
        <v>#VALUE!</v>
      </c>
      <c r="E253" s="963" t="e">
        <f t="shared" si="49"/>
        <v>#VALUE!</v>
      </c>
      <c r="F253" s="963" t="e">
        <f t="shared" si="50"/>
        <v>#VALUE!</v>
      </c>
      <c r="G253" s="965" t="e">
        <f t="shared" si="51"/>
        <v>#VALUE!</v>
      </c>
      <c r="H253" s="965" t="e">
        <f t="shared" si="52"/>
        <v>#VALUE!</v>
      </c>
    </row>
    <row r="254" spans="1:8">
      <c r="A254" s="965" t="e">
        <f>A253+30</f>
        <v>#VALUE!</v>
      </c>
      <c r="C254" s="971" t="e">
        <f t="shared" si="47"/>
        <v>#VALUE!</v>
      </c>
      <c r="D254" s="968" t="e">
        <f t="shared" si="48"/>
        <v>#VALUE!</v>
      </c>
      <c r="E254" s="963" t="e">
        <f t="shared" si="49"/>
        <v>#VALUE!</v>
      </c>
      <c r="F254" s="963" t="e">
        <f t="shared" si="50"/>
        <v>#VALUE!</v>
      </c>
      <c r="G254" s="965" t="e">
        <f t="shared" si="51"/>
        <v>#VALUE!</v>
      </c>
      <c r="H254" s="965" t="e">
        <f t="shared" si="52"/>
        <v>#VALUE!</v>
      </c>
    </row>
    <row r="255" spans="1:8">
      <c r="A255" s="965" t="e">
        <f>A254+31</f>
        <v>#VALUE!</v>
      </c>
      <c r="C255" s="971" t="e">
        <f t="shared" si="47"/>
        <v>#VALUE!</v>
      </c>
      <c r="D255" s="968" t="e">
        <f t="shared" si="48"/>
        <v>#VALUE!</v>
      </c>
      <c r="E255" s="963" t="e">
        <f t="shared" si="49"/>
        <v>#VALUE!</v>
      </c>
      <c r="F255" s="963" t="e">
        <f t="shared" si="50"/>
        <v>#VALUE!</v>
      </c>
      <c r="G255" s="965" t="e">
        <f t="shared" si="51"/>
        <v>#VALUE!</v>
      </c>
      <c r="H255" s="965" t="e">
        <f t="shared" si="52"/>
        <v>#VALUE!</v>
      </c>
    </row>
    <row r="256" spans="1:8">
      <c r="A256" s="965" t="e">
        <f>A255+31</f>
        <v>#VALUE!</v>
      </c>
      <c r="C256" s="971" t="e">
        <f t="shared" si="47"/>
        <v>#VALUE!</v>
      </c>
      <c r="D256" s="968" t="e">
        <f t="shared" si="48"/>
        <v>#VALUE!</v>
      </c>
      <c r="E256" s="963" t="e">
        <f t="shared" si="49"/>
        <v>#VALUE!</v>
      </c>
      <c r="F256" s="963" t="e">
        <f t="shared" si="50"/>
        <v>#VALUE!</v>
      </c>
      <c r="G256" s="965" t="e">
        <f t="shared" si="51"/>
        <v>#VALUE!</v>
      </c>
      <c r="H256" s="965" t="e">
        <f t="shared" si="52"/>
        <v>#VALUE!</v>
      </c>
    </row>
    <row r="257" spans="1:8">
      <c r="A257" s="965" t="e">
        <f>A256+30</f>
        <v>#VALUE!</v>
      </c>
      <c r="C257" s="971" t="e">
        <f t="shared" si="47"/>
        <v>#VALUE!</v>
      </c>
      <c r="D257" s="968" t="e">
        <f t="shared" si="48"/>
        <v>#VALUE!</v>
      </c>
      <c r="E257" s="963" t="e">
        <f t="shared" si="49"/>
        <v>#VALUE!</v>
      </c>
      <c r="F257" s="963" t="e">
        <f t="shared" si="50"/>
        <v>#VALUE!</v>
      </c>
      <c r="G257" s="965" t="e">
        <f t="shared" si="51"/>
        <v>#VALUE!</v>
      </c>
      <c r="H257" s="965" t="e">
        <f t="shared" si="52"/>
        <v>#VALUE!</v>
      </c>
    </row>
    <row r="258" spans="1:8">
      <c r="A258" s="965" t="e">
        <f>A257+31</f>
        <v>#VALUE!</v>
      </c>
      <c r="C258" s="971" t="e">
        <f t="shared" si="47"/>
        <v>#VALUE!</v>
      </c>
      <c r="D258" s="968" t="e">
        <f t="shared" si="48"/>
        <v>#VALUE!</v>
      </c>
      <c r="E258" s="963" t="e">
        <f t="shared" si="49"/>
        <v>#VALUE!</v>
      </c>
      <c r="F258" s="963" t="e">
        <f t="shared" si="50"/>
        <v>#VALUE!</v>
      </c>
      <c r="G258" s="965" t="e">
        <f t="shared" si="51"/>
        <v>#VALUE!</v>
      </c>
      <c r="H258" s="965" t="e">
        <f t="shared" si="52"/>
        <v>#VALUE!</v>
      </c>
    </row>
    <row r="259" spans="1:8">
      <c r="A259" s="965" t="e">
        <f>A258+30</f>
        <v>#VALUE!</v>
      </c>
      <c r="C259" s="971" t="e">
        <f t="shared" si="47"/>
        <v>#VALUE!</v>
      </c>
      <c r="D259" s="968" t="e">
        <f t="shared" si="48"/>
        <v>#VALUE!</v>
      </c>
      <c r="E259" s="963" t="e">
        <f t="shared" si="49"/>
        <v>#VALUE!</v>
      </c>
      <c r="F259" s="963" t="e">
        <f t="shared" si="50"/>
        <v>#VALUE!</v>
      </c>
      <c r="G259" s="965" t="e">
        <f t="shared" si="51"/>
        <v>#VALUE!</v>
      </c>
      <c r="H259" s="965" t="e">
        <f t="shared" si="52"/>
        <v>#VALUE!</v>
      </c>
    </row>
    <row r="260" spans="1:8">
      <c r="A260" s="965" t="e">
        <f>A259+31</f>
        <v>#VALUE!</v>
      </c>
      <c r="C260" s="971" t="e">
        <f t="shared" si="47"/>
        <v>#VALUE!</v>
      </c>
      <c r="D260" s="968" t="e">
        <f t="shared" si="48"/>
        <v>#VALUE!</v>
      </c>
      <c r="E260" s="963" t="e">
        <f t="shared" si="49"/>
        <v>#VALUE!</v>
      </c>
      <c r="F260" s="963" t="e">
        <f t="shared" si="50"/>
        <v>#VALUE!</v>
      </c>
      <c r="G260" s="965" t="e">
        <f t="shared" si="51"/>
        <v>#VALUE!</v>
      </c>
      <c r="H260" s="965" t="e">
        <f t="shared" si="52"/>
        <v>#VALUE!</v>
      </c>
    </row>
    <row r="261" spans="1:8">
      <c r="A261" s="965" t="e">
        <f>A260+31</f>
        <v>#VALUE!</v>
      </c>
      <c r="B261" s="963" t="b">
        <f>ISNA(VLOOKUP(A261,$E$4:$E$13,1,FALSE))</f>
        <v>0</v>
      </c>
      <c r="C261" s="971" t="e">
        <f t="shared" si="47"/>
        <v>#VALUE!</v>
      </c>
      <c r="D261" s="968" t="e">
        <f t="shared" si="48"/>
        <v>#VALUE!</v>
      </c>
      <c r="E261" s="963" t="e">
        <f t="shared" si="49"/>
        <v>#VALUE!</v>
      </c>
      <c r="F261" s="963" t="e">
        <f t="shared" si="50"/>
        <v>#VALUE!</v>
      </c>
      <c r="G261" s="965" t="e">
        <f t="shared" si="51"/>
        <v>#VALUE!</v>
      </c>
      <c r="H261" s="965" t="e">
        <f t="shared" si="52"/>
        <v>#VALUE!</v>
      </c>
    </row>
    <row r="262" spans="1:8">
      <c r="A262" s="965" t="e">
        <f>IF(B261=TRUE,(A261+28),(A261+29))</f>
        <v>#VALUE!</v>
      </c>
      <c r="C262" s="971" t="e">
        <f t="shared" si="47"/>
        <v>#VALUE!</v>
      </c>
      <c r="D262" s="968" t="e">
        <f t="shared" si="48"/>
        <v>#VALUE!</v>
      </c>
      <c r="E262" s="963" t="e">
        <f t="shared" si="49"/>
        <v>#VALUE!</v>
      </c>
      <c r="F262" s="963" t="e">
        <f t="shared" si="50"/>
        <v>#VALUE!</v>
      </c>
      <c r="G262" s="965" t="e">
        <f t="shared" si="51"/>
        <v>#VALUE!</v>
      </c>
      <c r="H262" s="965" t="e">
        <f t="shared" si="52"/>
        <v>#VALUE!</v>
      </c>
    </row>
    <row r="263" spans="1:8">
      <c r="A263" s="965" t="e">
        <f>A262+31</f>
        <v>#VALUE!</v>
      </c>
      <c r="C263" s="971" t="e">
        <f t="shared" si="47"/>
        <v>#VALUE!</v>
      </c>
      <c r="D263" s="968" t="e">
        <f t="shared" si="48"/>
        <v>#VALUE!</v>
      </c>
      <c r="E263" s="963" t="e">
        <f t="shared" si="49"/>
        <v>#VALUE!</v>
      </c>
      <c r="F263" s="963" t="e">
        <f t="shared" si="50"/>
        <v>#VALUE!</v>
      </c>
      <c r="G263" s="965" t="e">
        <f t="shared" si="51"/>
        <v>#VALUE!</v>
      </c>
      <c r="H263" s="965" t="e">
        <f t="shared" si="52"/>
        <v>#VALUE!</v>
      </c>
    </row>
    <row r="264" spans="1:8">
      <c r="A264" s="965" t="e">
        <f>A263+30</f>
        <v>#VALUE!</v>
      </c>
      <c r="C264" s="971" t="e">
        <f t="shared" si="47"/>
        <v>#VALUE!</v>
      </c>
      <c r="D264" s="968" t="e">
        <f t="shared" si="48"/>
        <v>#VALUE!</v>
      </c>
      <c r="E264" s="963" t="e">
        <f t="shared" si="49"/>
        <v>#VALUE!</v>
      </c>
      <c r="F264" s="963" t="e">
        <f t="shared" si="50"/>
        <v>#VALUE!</v>
      </c>
      <c r="G264" s="965" t="e">
        <f t="shared" si="51"/>
        <v>#VALUE!</v>
      </c>
      <c r="H264" s="965" t="e">
        <f t="shared" si="52"/>
        <v>#VALUE!</v>
      </c>
    </row>
    <row r="265" spans="1:8">
      <c r="A265" s="965" t="e">
        <f>A264+31</f>
        <v>#VALUE!</v>
      </c>
      <c r="C265" s="971" t="e">
        <f t="shared" si="47"/>
        <v>#VALUE!</v>
      </c>
      <c r="D265" s="968" t="e">
        <f t="shared" si="48"/>
        <v>#VALUE!</v>
      </c>
      <c r="E265" s="963" t="e">
        <f t="shared" si="49"/>
        <v>#VALUE!</v>
      </c>
      <c r="F265" s="963" t="e">
        <f t="shared" si="50"/>
        <v>#VALUE!</v>
      </c>
      <c r="G265" s="965" t="e">
        <f t="shared" si="51"/>
        <v>#VALUE!</v>
      </c>
      <c r="H265" s="965" t="e">
        <f t="shared" si="52"/>
        <v>#VALUE!</v>
      </c>
    </row>
    <row r="266" spans="1:8">
      <c r="A266" s="965" t="e">
        <f>A265+30</f>
        <v>#VALUE!</v>
      </c>
      <c r="C266" s="971" t="e">
        <f t="shared" si="47"/>
        <v>#VALUE!</v>
      </c>
      <c r="D266" s="968" t="e">
        <f t="shared" si="48"/>
        <v>#VALUE!</v>
      </c>
      <c r="E266" s="963" t="e">
        <f t="shared" si="49"/>
        <v>#VALUE!</v>
      </c>
      <c r="F266" s="963" t="e">
        <f t="shared" si="50"/>
        <v>#VALUE!</v>
      </c>
      <c r="G266" s="965" t="e">
        <f t="shared" si="51"/>
        <v>#VALUE!</v>
      </c>
      <c r="H266" s="965" t="e">
        <f t="shared" si="52"/>
        <v>#VALUE!</v>
      </c>
    </row>
    <row r="267" spans="1:8">
      <c r="A267" s="965" t="e">
        <f>A266+31</f>
        <v>#VALUE!</v>
      </c>
      <c r="C267" s="971" t="e">
        <f t="shared" si="47"/>
        <v>#VALUE!</v>
      </c>
      <c r="D267" s="968" t="e">
        <f t="shared" si="48"/>
        <v>#VALUE!</v>
      </c>
      <c r="E267" s="963" t="e">
        <f t="shared" si="49"/>
        <v>#VALUE!</v>
      </c>
      <c r="F267" s="963" t="e">
        <f t="shared" si="50"/>
        <v>#VALUE!</v>
      </c>
      <c r="G267" s="965" t="e">
        <f t="shared" si="51"/>
        <v>#VALUE!</v>
      </c>
      <c r="H267" s="965" t="e">
        <f t="shared" si="52"/>
        <v>#VALUE!</v>
      </c>
    </row>
    <row r="268" spans="1:8">
      <c r="A268" s="965" t="e">
        <f>A267+31</f>
        <v>#VALUE!</v>
      </c>
      <c r="C268" s="971" t="e">
        <f t="shared" si="47"/>
        <v>#VALUE!</v>
      </c>
      <c r="D268" s="968" t="e">
        <f t="shared" si="48"/>
        <v>#VALUE!</v>
      </c>
      <c r="E268" s="963" t="e">
        <f t="shared" si="49"/>
        <v>#VALUE!</v>
      </c>
      <c r="F268" s="963" t="e">
        <f t="shared" si="50"/>
        <v>#VALUE!</v>
      </c>
      <c r="G268" s="965" t="e">
        <f t="shared" si="51"/>
        <v>#VALUE!</v>
      </c>
      <c r="H268" s="965" t="e">
        <f t="shared" si="52"/>
        <v>#VALUE!</v>
      </c>
    </row>
    <row r="269" spans="1:8">
      <c r="A269" s="965" t="e">
        <f>A268+30</f>
        <v>#VALUE!</v>
      </c>
      <c r="C269" s="971" t="e">
        <f t="shared" si="47"/>
        <v>#VALUE!</v>
      </c>
      <c r="D269" s="968" t="e">
        <f t="shared" si="48"/>
        <v>#VALUE!</v>
      </c>
      <c r="E269" s="963" t="e">
        <f t="shared" si="49"/>
        <v>#VALUE!</v>
      </c>
      <c r="F269" s="963" t="e">
        <f t="shared" si="50"/>
        <v>#VALUE!</v>
      </c>
      <c r="G269" s="965" t="e">
        <f t="shared" si="51"/>
        <v>#VALUE!</v>
      </c>
      <c r="H269" s="965" t="e">
        <f t="shared" si="52"/>
        <v>#VALUE!</v>
      </c>
    </row>
    <row r="270" spans="1:8">
      <c r="A270" s="965" t="e">
        <f>A269+31</f>
        <v>#VALUE!</v>
      </c>
      <c r="C270" s="971" t="e">
        <f t="shared" si="47"/>
        <v>#VALUE!</v>
      </c>
      <c r="D270" s="968" t="e">
        <f t="shared" si="48"/>
        <v>#VALUE!</v>
      </c>
      <c r="E270" s="963" t="e">
        <f t="shared" si="49"/>
        <v>#VALUE!</v>
      </c>
      <c r="F270" s="963" t="e">
        <f t="shared" si="50"/>
        <v>#VALUE!</v>
      </c>
      <c r="G270" s="965" t="e">
        <f t="shared" si="51"/>
        <v>#VALUE!</v>
      </c>
      <c r="H270" s="965" t="e">
        <f t="shared" si="52"/>
        <v>#VALUE!</v>
      </c>
    </row>
    <row r="271" spans="1:8">
      <c r="A271" s="965" t="e">
        <f>A270+30</f>
        <v>#VALUE!</v>
      </c>
      <c r="C271" s="971" t="e">
        <f t="shared" si="47"/>
        <v>#VALUE!</v>
      </c>
      <c r="D271" s="968" t="e">
        <f t="shared" si="48"/>
        <v>#VALUE!</v>
      </c>
      <c r="E271" s="963" t="e">
        <f t="shared" si="49"/>
        <v>#VALUE!</v>
      </c>
      <c r="F271" s="963" t="e">
        <f t="shared" si="50"/>
        <v>#VALUE!</v>
      </c>
      <c r="G271" s="965" t="e">
        <f t="shared" si="51"/>
        <v>#VALUE!</v>
      </c>
      <c r="H271" s="965" t="e">
        <f t="shared" si="52"/>
        <v>#VALUE!</v>
      </c>
    </row>
    <row r="272" spans="1:8">
      <c r="A272" s="965" t="e">
        <f>A271+31</f>
        <v>#VALUE!</v>
      </c>
      <c r="C272" s="971" t="e">
        <f t="shared" si="47"/>
        <v>#VALUE!</v>
      </c>
      <c r="D272" s="968" t="e">
        <f t="shared" si="48"/>
        <v>#VALUE!</v>
      </c>
      <c r="E272" s="963" t="e">
        <f t="shared" si="49"/>
        <v>#VALUE!</v>
      </c>
      <c r="F272" s="963" t="e">
        <f t="shared" si="50"/>
        <v>#VALUE!</v>
      </c>
      <c r="G272" s="965" t="e">
        <f t="shared" si="51"/>
        <v>#VALUE!</v>
      </c>
      <c r="H272" s="965" t="e">
        <f t="shared" si="52"/>
        <v>#VALUE!</v>
      </c>
    </row>
    <row r="273" spans="1:8">
      <c r="A273" s="965" t="e">
        <f>A272+31</f>
        <v>#VALUE!</v>
      </c>
      <c r="B273" s="963" t="b">
        <f>ISNA(VLOOKUP(A273,$E$4:$E$13,1,FALSE))</f>
        <v>0</v>
      </c>
      <c r="C273" s="971" t="e">
        <f t="shared" si="47"/>
        <v>#VALUE!</v>
      </c>
      <c r="D273" s="968" t="e">
        <f t="shared" si="48"/>
        <v>#VALUE!</v>
      </c>
      <c r="E273" s="963" t="e">
        <f t="shared" si="49"/>
        <v>#VALUE!</v>
      </c>
      <c r="F273" s="963" t="e">
        <f t="shared" si="50"/>
        <v>#VALUE!</v>
      </c>
      <c r="G273" s="965" t="e">
        <f t="shared" si="51"/>
        <v>#VALUE!</v>
      </c>
      <c r="H273" s="965" t="e">
        <f t="shared" si="52"/>
        <v>#VALUE!</v>
      </c>
    </row>
    <row r="274" spans="1:8">
      <c r="A274" s="965" t="e">
        <f>IF(B273=TRUE,(A273+28),(A273+29))</f>
        <v>#VALUE!</v>
      </c>
      <c r="C274" s="971" t="e">
        <f t="shared" si="47"/>
        <v>#VALUE!</v>
      </c>
      <c r="D274" s="968" t="e">
        <f t="shared" si="48"/>
        <v>#VALUE!</v>
      </c>
      <c r="E274" s="963" t="e">
        <f t="shared" si="49"/>
        <v>#VALUE!</v>
      </c>
      <c r="F274" s="963" t="e">
        <f t="shared" si="50"/>
        <v>#VALUE!</v>
      </c>
      <c r="G274" s="965" t="e">
        <f t="shared" si="51"/>
        <v>#VALUE!</v>
      </c>
      <c r="H274" s="965" t="e">
        <f t="shared" si="52"/>
        <v>#VALUE!</v>
      </c>
    </row>
    <row r="275" spans="1:8">
      <c r="A275" s="965" t="e">
        <f>A274+31</f>
        <v>#VALUE!</v>
      </c>
      <c r="C275" s="971" t="e">
        <f t="shared" si="47"/>
        <v>#VALUE!</v>
      </c>
      <c r="D275" s="968" t="e">
        <f t="shared" si="48"/>
        <v>#VALUE!</v>
      </c>
      <c r="E275" s="963" t="e">
        <f t="shared" si="49"/>
        <v>#VALUE!</v>
      </c>
      <c r="F275" s="963" t="e">
        <f t="shared" si="50"/>
        <v>#VALUE!</v>
      </c>
      <c r="G275" s="965" t="e">
        <f t="shared" si="51"/>
        <v>#VALUE!</v>
      </c>
      <c r="H275" s="965" t="e">
        <f t="shared" si="52"/>
        <v>#VALUE!</v>
      </c>
    </row>
    <row r="276" spans="1:8">
      <c r="A276" s="965" t="e">
        <f>A275+30</f>
        <v>#VALUE!</v>
      </c>
      <c r="C276" s="971" t="e">
        <f t="shared" si="47"/>
        <v>#VALUE!</v>
      </c>
      <c r="D276" s="968" t="e">
        <f t="shared" si="48"/>
        <v>#VALUE!</v>
      </c>
      <c r="E276" s="963" t="e">
        <f t="shared" si="49"/>
        <v>#VALUE!</v>
      </c>
      <c r="F276" s="963" t="e">
        <f t="shared" si="50"/>
        <v>#VALUE!</v>
      </c>
      <c r="G276" s="965" t="e">
        <f t="shared" si="51"/>
        <v>#VALUE!</v>
      </c>
      <c r="H276" s="965" t="e">
        <f t="shared" si="52"/>
        <v>#VALUE!</v>
      </c>
    </row>
    <row r="277" spans="1:8">
      <c r="A277" s="965" t="e">
        <f>A276+31</f>
        <v>#VALUE!</v>
      </c>
      <c r="C277" s="971" t="e">
        <f t="shared" si="47"/>
        <v>#VALUE!</v>
      </c>
      <c r="D277" s="968" t="e">
        <f t="shared" si="48"/>
        <v>#VALUE!</v>
      </c>
      <c r="E277" s="963" t="e">
        <f t="shared" si="49"/>
        <v>#VALUE!</v>
      </c>
      <c r="F277" s="963" t="e">
        <f t="shared" si="50"/>
        <v>#VALUE!</v>
      </c>
      <c r="G277" s="965" t="e">
        <f t="shared" si="51"/>
        <v>#VALUE!</v>
      </c>
      <c r="H277" s="965" t="e">
        <f t="shared" si="52"/>
        <v>#VALUE!</v>
      </c>
    </row>
    <row r="278" spans="1:8">
      <c r="A278" s="965" t="e">
        <f>A277+30</f>
        <v>#VALUE!</v>
      </c>
      <c r="C278" s="971" t="e">
        <f t="shared" si="47"/>
        <v>#VALUE!</v>
      </c>
      <c r="D278" s="968" t="e">
        <f t="shared" si="48"/>
        <v>#VALUE!</v>
      </c>
      <c r="E278" s="963" t="e">
        <f t="shared" si="49"/>
        <v>#VALUE!</v>
      </c>
      <c r="F278" s="963" t="e">
        <f t="shared" si="50"/>
        <v>#VALUE!</v>
      </c>
      <c r="G278" s="965" t="e">
        <f t="shared" si="51"/>
        <v>#VALUE!</v>
      </c>
      <c r="H278" s="965" t="e">
        <f t="shared" si="52"/>
        <v>#VALUE!</v>
      </c>
    </row>
    <row r="279" spans="1:8">
      <c r="A279" s="965" t="e">
        <f>A278+31</f>
        <v>#VALUE!</v>
      </c>
      <c r="C279" s="971" t="e">
        <f t="shared" si="47"/>
        <v>#VALUE!</v>
      </c>
      <c r="D279" s="968" t="e">
        <f t="shared" si="48"/>
        <v>#VALUE!</v>
      </c>
      <c r="E279" s="963" t="e">
        <f t="shared" si="49"/>
        <v>#VALUE!</v>
      </c>
      <c r="F279" s="963" t="e">
        <f t="shared" si="50"/>
        <v>#VALUE!</v>
      </c>
      <c r="G279" s="965" t="e">
        <f t="shared" si="51"/>
        <v>#VALUE!</v>
      </c>
      <c r="H279" s="965" t="e">
        <f t="shared" si="52"/>
        <v>#VALUE!</v>
      </c>
    </row>
    <row r="280" spans="1:8">
      <c r="A280" s="965" t="e">
        <f>A279+31</f>
        <v>#VALUE!</v>
      </c>
      <c r="C280" s="971" t="e">
        <f t="shared" si="47"/>
        <v>#VALUE!</v>
      </c>
      <c r="D280" s="968" t="e">
        <f t="shared" si="48"/>
        <v>#VALUE!</v>
      </c>
      <c r="E280" s="963" t="e">
        <f t="shared" si="49"/>
        <v>#VALUE!</v>
      </c>
      <c r="F280" s="963" t="e">
        <f t="shared" si="50"/>
        <v>#VALUE!</v>
      </c>
      <c r="G280" s="965" t="e">
        <f t="shared" si="51"/>
        <v>#VALUE!</v>
      </c>
      <c r="H280" s="965" t="e">
        <f t="shared" si="52"/>
        <v>#VALUE!</v>
      </c>
    </row>
    <row r="281" spans="1:8">
      <c r="A281" s="965" t="e">
        <f>A280+30</f>
        <v>#VALUE!</v>
      </c>
      <c r="C281" s="971" t="e">
        <f t="shared" si="47"/>
        <v>#VALUE!</v>
      </c>
      <c r="D281" s="968" t="e">
        <f t="shared" si="48"/>
        <v>#VALUE!</v>
      </c>
      <c r="E281" s="963" t="e">
        <f t="shared" si="49"/>
        <v>#VALUE!</v>
      </c>
      <c r="F281" s="963" t="e">
        <f t="shared" si="50"/>
        <v>#VALUE!</v>
      </c>
      <c r="G281" s="965" t="e">
        <f t="shared" si="51"/>
        <v>#VALUE!</v>
      </c>
      <c r="H281" s="965" t="e">
        <f t="shared" si="52"/>
        <v>#VALUE!</v>
      </c>
    </row>
    <row r="282" spans="1:8">
      <c r="A282" s="965" t="e">
        <f>A281+31</f>
        <v>#VALUE!</v>
      </c>
      <c r="C282" s="971" t="e">
        <f t="shared" si="47"/>
        <v>#VALUE!</v>
      </c>
      <c r="D282" s="968" t="e">
        <f t="shared" si="48"/>
        <v>#VALUE!</v>
      </c>
      <c r="E282" s="963" t="e">
        <f t="shared" si="49"/>
        <v>#VALUE!</v>
      </c>
      <c r="F282" s="963" t="e">
        <f t="shared" si="50"/>
        <v>#VALUE!</v>
      </c>
      <c r="G282" s="965" t="e">
        <f t="shared" si="51"/>
        <v>#VALUE!</v>
      </c>
      <c r="H282" s="965" t="e">
        <f t="shared" si="52"/>
        <v>#VALUE!</v>
      </c>
    </row>
    <row r="283" spans="1:8">
      <c r="A283" s="965" t="e">
        <f>A282+30</f>
        <v>#VALUE!</v>
      </c>
      <c r="C283" s="971" t="e">
        <f t="shared" si="47"/>
        <v>#VALUE!</v>
      </c>
      <c r="D283" s="968" t="e">
        <f t="shared" si="48"/>
        <v>#VALUE!</v>
      </c>
      <c r="E283" s="963" t="e">
        <f t="shared" si="49"/>
        <v>#VALUE!</v>
      </c>
      <c r="F283" s="963" t="e">
        <f t="shared" si="50"/>
        <v>#VALUE!</v>
      </c>
      <c r="G283" s="965" t="e">
        <f t="shared" si="51"/>
        <v>#VALUE!</v>
      </c>
      <c r="H283" s="965" t="e">
        <f t="shared" si="52"/>
        <v>#VALUE!</v>
      </c>
    </row>
    <row r="284" spans="1:8">
      <c r="A284" s="965" t="e">
        <f>A283+31</f>
        <v>#VALUE!</v>
      </c>
      <c r="C284" s="971" t="e">
        <f t="shared" si="47"/>
        <v>#VALUE!</v>
      </c>
      <c r="D284" s="968" t="e">
        <f t="shared" si="48"/>
        <v>#VALUE!</v>
      </c>
      <c r="E284" s="963" t="e">
        <f t="shared" si="49"/>
        <v>#VALUE!</v>
      </c>
      <c r="F284" s="963" t="e">
        <f t="shared" si="50"/>
        <v>#VALUE!</v>
      </c>
      <c r="G284" s="965" t="e">
        <f t="shared" si="51"/>
        <v>#VALUE!</v>
      </c>
      <c r="H284" s="965" t="e">
        <f t="shared" si="52"/>
        <v>#VALUE!</v>
      </c>
    </row>
    <row r="285" spans="1:8">
      <c r="A285" s="965" t="e">
        <f>A284+31</f>
        <v>#VALUE!</v>
      </c>
      <c r="B285" s="963" t="b">
        <f>ISNA(VLOOKUP(A285,$E$4:$E$13,1,FALSE))</f>
        <v>0</v>
      </c>
      <c r="C285" s="971" t="e">
        <f t="shared" si="47"/>
        <v>#VALUE!</v>
      </c>
      <c r="D285" s="968" t="e">
        <f t="shared" si="48"/>
        <v>#VALUE!</v>
      </c>
      <c r="E285" s="963" t="e">
        <f t="shared" si="49"/>
        <v>#VALUE!</v>
      </c>
      <c r="F285" s="963" t="e">
        <f t="shared" si="50"/>
        <v>#VALUE!</v>
      </c>
      <c r="G285" s="965" t="e">
        <f t="shared" si="51"/>
        <v>#VALUE!</v>
      </c>
      <c r="H285" s="965" t="e">
        <f t="shared" si="52"/>
        <v>#VALUE!</v>
      </c>
    </row>
    <row r="286" spans="1:8">
      <c r="A286" s="965" t="e">
        <f>IF(B285=TRUE,(A285+28),(A285+29))</f>
        <v>#VALUE!</v>
      </c>
      <c r="C286" s="971" t="e">
        <f t="shared" si="47"/>
        <v>#VALUE!</v>
      </c>
      <c r="D286" s="968" t="e">
        <f t="shared" si="48"/>
        <v>#VALUE!</v>
      </c>
      <c r="E286" s="963" t="e">
        <f t="shared" si="49"/>
        <v>#VALUE!</v>
      </c>
      <c r="F286" s="963" t="e">
        <f t="shared" si="50"/>
        <v>#VALUE!</v>
      </c>
      <c r="G286" s="965" t="e">
        <f t="shared" si="51"/>
        <v>#VALUE!</v>
      </c>
      <c r="H286" s="965" t="e">
        <f t="shared" si="52"/>
        <v>#VALUE!</v>
      </c>
    </row>
    <row r="287" spans="1:8">
      <c r="A287" s="965" t="e">
        <f>A286+31</f>
        <v>#VALUE!</v>
      </c>
      <c r="C287" s="971" t="e">
        <f t="shared" si="47"/>
        <v>#VALUE!</v>
      </c>
      <c r="D287" s="968" t="e">
        <f t="shared" si="48"/>
        <v>#VALUE!</v>
      </c>
      <c r="E287" s="963" t="e">
        <f t="shared" si="49"/>
        <v>#VALUE!</v>
      </c>
      <c r="F287" s="963" t="e">
        <f t="shared" si="50"/>
        <v>#VALUE!</v>
      </c>
      <c r="G287" s="965" t="e">
        <f t="shared" si="51"/>
        <v>#VALUE!</v>
      </c>
      <c r="H287" s="965" t="e">
        <f t="shared" si="52"/>
        <v>#VALUE!</v>
      </c>
    </row>
    <row r="300" spans="2:8">
      <c r="B300" s="972" t="s">
        <v>426</v>
      </c>
      <c r="C300" s="965">
        <f>'F1  Cover'!$L$8</f>
        <v>46053</v>
      </c>
    </row>
    <row r="301" spans="2:8">
      <c r="B301" s="972" t="s">
        <v>427</v>
      </c>
      <c r="C301" s="965">
        <f>VLOOKUP(1,$G$301:$H$505,2,FALSE)</f>
        <v>46023</v>
      </c>
      <c r="F301" s="965">
        <f>W2</f>
        <v>41730</v>
      </c>
      <c r="G301" s="963">
        <f>IF($C$300&lt;F301,1,0)</f>
        <v>0</v>
      </c>
    </row>
    <row r="302" spans="2:8">
      <c r="F302" s="965">
        <f>F301+30</f>
        <v>41760</v>
      </c>
      <c r="G302" s="963">
        <f>IF(G301=1,0,IF($C$300&lt;F302,1,0))</f>
        <v>0</v>
      </c>
      <c r="H302" s="965">
        <f>F301</f>
        <v>41730</v>
      </c>
    </row>
    <row r="303" spans="2:8">
      <c r="F303" s="965">
        <f>F302+31</f>
        <v>41791</v>
      </c>
      <c r="G303" s="963">
        <f>IF(SUM($G$301:G302)=1,0,IF($C$300&lt;F303,1,0))</f>
        <v>0</v>
      </c>
      <c r="H303" s="965">
        <f>F302</f>
        <v>41760</v>
      </c>
    </row>
    <row r="304" spans="2:8">
      <c r="F304" s="965">
        <f t="shared" ref="F304:F321" si="53">F303+30</f>
        <v>41821</v>
      </c>
      <c r="G304" s="963">
        <f>IF(SUM($G$301:G303)=1,0,IF($C$300&lt;F304,1,0))</f>
        <v>0</v>
      </c>
      <c r="H304" s="965">
        <f t="shared" ref="H304:H367" si="54">F303</f>
        <v>41791</v>
      </c>
    </row>
    <row r="305" spans="6:8">
      <c r="F305" s="965">
        <f>F304+31</f>
        <v>41852</v>
      </c>
      <c r="G305" s="963">
        <f>IF(SUM($G$301:G304)=1,0,IF($C$300&lt;F305,1,0))</f>
        <v>0</v>
      </c>
      <c r="H305" s="965">
        <f t="shared" si="54"/>
        <v>41821</v>
      </c>
    </row>
    <row r="306" spans="6:8">
      <c r="F306" s="965">
        <f>F305+31</f>
        <v>41883</v>
      </c>
      <c r="G306" s="963">
        <f>IF(SUM($G$301:G305)=1,0,IF($C$300&lt;F306,1,0))</f>
        <v>0</v>
      </c>
      <c r="H306" s="965">
        <f t="shared" si="54"/>
        <v>41852</v>
      </c>
    </row>
    <row r="307" spans="6:8">
      <c r="F307" s="965">
        <f t="shared" si="53"/>
        <v>41913</v>
      </c>
      <c r="G307" s="963">
        <f>IF(SUM($G$301:G306)=1,0,IF($C$300&lt;F307,1,0))</f>
        <v>0</v>
      </c>
      <c r="H307" s="965">
        <f t="shared" si="54"/>
        <v>41883</v>
      </c>
    </row>
    <row r="308" spans="6:8">
      <c r="F308" s="965">
        <f>F307+31</f>
        <v>41944</v>
      </c>
      <c r="G308" s="963">
        <f>IF(SUM($G$301:G307)=1,0,IF($C$300&lt;F308,1,0))</f>
        <v>0</v>
      </c>
      <c r="H308" s="965">
        <f t="shared" si="54"/>
        <v>41913</v>
      </c>
    </row>
    <row r="309" spans="6:8">
      <c r="F309" s="965">
        <f t="shared" si="53"/>
        <v>41974</v>
      </c>
      <c r="G309" s="963">
        <f>IF(SUM($G$301:G308)=1,0,IF($C$300&lt;F309,1,0))</f>
        <v>0</v>
      </c>
      <c r="H309" s="965">
        <f t="shared" si="54"/>
        <v>41944</v>
      </c>
    </row>
    <row r="310" spans="6:8">
      <c r="F310" s="965">
        <f>F309+31</f>
        <v>42005</v>
      </c>
      <c r="G310" s="963">
        <f>IF(SUM($G$301:G309)=1,0,IF($C$300&lt;F310,1,0))</f>
        <v>0</v>
      </c>
      <c r="H310" s="965">
        <f t="shared" si="54"/>
        <v>41974</v>
      </c>
    </row>
    <row r="311" spans="6:8">
      <c r="F311" s="965">
        <f>F310+31</f>
        <v>42036</v>
      </c>
      <c r="G311" s="963">
        <f>IF(SUM($G$301:G310)=1,0,IF($C$300&lt;F311,1,0))</f>
        <v>0</v>
      </c>
      <c r="H311" s="965">
        <f t="shared" si="54"/>
        <v>42005</v>
      </c>
    </row>
    <row r="312" spans="6:8">
      <c r="F312" s="965">
        <f>IF(ISNA(VLOOKUP(F311,$E$4:$E$13,1,FALSE))=TRUE,F311+28,F311+29)</f>
        <v>42064</v>
      </c>
      <c r="G312" s="963">
        <f>IF(SUM($G$301:G311)=1,0,IF($C$300&lt;F312,1,0))</f>
        <v>0</v>
      </c>
      <c r="H312" s="965">
        <f t="shared" si="54"/>
        <v>42036</v>
      </c>
    </row>
    <row r="313" spans="6:8">
      <c r="F313" s="965">
        <f>F312+31</f>
        <v>42095</v>
      </c>
      <c r="G313" s="963">
        <f>IF(SUM($G$301:G312)=1,0,IF($C$300&lt;F313,1,0))</f>
        <v>0</v>
      </c>
      <c r="H313" s="965">
        <f t="shared" si="54"/>
        <v>42064</v>
      </c>
    </row>
    <row r="314" spans="6:8">
      <c r="F314" s="965">
        <f>F313+30</f>
        <v>42125</v>
      </c>
      <c r="G314" s="963">
        <f>IF(SUM($G$301:G313)=1,0,IF($C$300&lt;F314,1,0))</f>
        <v>0</v>
      </c>
      <c r="H314" s="965">
        <f t="shared" si="54"/>
        <v>42095</v>
      </c>
    </row>
    <row r="315" spans="6:8">
      <c r="F315" s="965">
        <f>F314+31</f>
        <v>42156</v>
      </c>
      <c r="G315" s="963">
        <f>IF(SUM($G$301:G314)=1,0,IF($C$300&lt;F315,1,0))</f>
        <v>0</v>
      </c>
      <c r="H315" s="965">
        <f t="shared" si="54"/>
        <v>42125</v>
      </c>
    </row>
    <row r="316" spans="6:8">
      <c r="F316" s="965">
        <f t="shared" si="53"/>
        <v>42186</v>
      </c>
      <c r="G316" s="963">
        <f>IF(SUM($G$301:G315)=1,0,IF($C$300&lt;F316,1,0))</f>
        <v>0</v>
      </c>
      <c r="H316" s="965">
        <f t="shared" si="54"/>
        <v>42156</v>
      </c>
    </row>
    <row r="317" spans="6:8">
      <c r="F317" s="965">
        <f>F316+31</f>
        <v>42217</v>
      </c>
      <c r="G317" s="963">
        <f>IF(SUM($G$301:G316)=1,0,IF($C$300&lt;F317,1,0))</f>
        <v>0</v>
      </c>
      <c r="H317" s="965">
        <f t="shared" si="54"/>
        <v>42186</v>
      </c>
    </row>
    <row r="318" spans="6:8">
      <c r="F318" s="965">
        <f>F317+31</f>
        <v>42248</v>
      </c>
      <c r="G318" s="963">
        <f>IF(SUM($G$301:G317)=1,0,IF($C$300&lt;F318,1,0))</f>
        <v>0</v>
      </c>
      <c r="H318" s="965">
        <f t="shared" si="54"/>
        <v>42217</v>
      </c>
    </row>
    <row r="319" spans="6:8">
      <c r="F319" s="965">
        <f t="shared" si="53"/>
        <v>42278</v>
      </c>
      <c r="G319" s="963">
        <f>IF(SUM($G$301:G318)=1,0,IF($C$300&lt;F319,1,0))</f>
        <v>0</v>
      </c>
      <c r="H319" s="965">
        <f t="shared" si="54"/>
        <v>42248</v>
      </c>
    </row>
    <row r="320" spans="6:8">
      <c r="F320" s="965">
        <f>F319+31</f>
        <v>42309</v>
      </c>
      <c r="G320" s="963">
        <f>IF(SUM($G$301:G319)=1,0,IF($C$300&lt;F320,1,0))</f>
        <v>0</v>
      </c>
      <c r="H320" s="965">
        <f t="shared" si="54"/>
        <v>42278</v>
      </c>
    </row>
    <row r="321" spans="6:8">
      <c r="F321" s="965">
        <f t="shared" si="53"/>
        <v>42339</v>
      </c>
      <c r="G321" s="963">
        <f>IF(SUM($G$301:G320)=1,0,IF($C$300&lt;F321,1,0))</f>
        <v>0</v>
      </c>
      <c r="H321" s="965">
        <f t="shared" si="54"/>
        <v>42309</v>
      </c>
    </row>
    <row r="322" spans="6:8">
      <c r="F322" s="965">
        <f>F321+31</f>
        <v>42370</v>
      </c>
      <c r="G322" s="963">
        <f>IF(SUM($G$301:G321)=1,0,IF($C$300&lt;F322,1,0))</f>
        <v>0</v>
      </c>
      <c r="H322" s="965">
        <f t="shared" si="54"/>
        <v>42339</v>
      </c>
    </row>
    <row r="323" spans="6:8">
      <c r="F323" s="965">
        <f>F322+31</f>
        <v>42401</v>
      </c>
      <c r="G323" s="963">
        <f>IF(SUM($G$301:G322)=1,0,IF($C$300&lt;F323,1,0))</f>
        <v>0</v>
      </c>
      <c r="H323" s="965">
        <f t="shared" si="54"/>
        <v>42370</v>
      </c>
    </row>
    <row r="324" spans="6:8">
      <c r="F324" s="965">
        <f>IF(ISNA(VLOOKUP(F323,$E$4:$E$13,1,FALSE))=TRUE,F323+28,F323+29)</f>
        <v>42430</v>
      </c>
      <c r="G324" s="963">
        <f>IF(SUM($G$301:G323)=1,0,IF($C$300&lt;F324,1,0))</f>
        <v>0</v>
      </c>
      <c r="H324" s="965">
        <f t="shared" si="54"/>
        <v>42401</v>
      </c>
    </row>
    <row r="325" spans="6:8">
      <c r="F325" s="965">
        <f>F324+31</f>
        <v>42461</v>
      </c>
      <c r="G325" s="963">
        <f>IF(SUM($G$301:G324)=1,0,IF($C$300&lt;F325,1,0))</f>
        <v>0</v>
      </c>
      <c r="H325" s="965">
        <f t="shared" si="54"/>
        <v>42430</v>
      </c>
    </row>
    <row r="326" spans="6:8">
      <c r="F326" s="965">
        <f>F325+30</f>
        <v>42491</v>
      </c>
      <c r="G326" s="963">
        <f>IF(SUM($G$301:G325)=1,0,IF($C$300&lt;F326,1,0))</f>
        <v>0</v>
      </c>
      <c r="H326" s="965">
        <f t="shared" si="54"/>
        <v>42461</v>
      </c>
    </row>
    <row r="327" spans="6:8">
      <c r="F327" s="965">
        <f>F326+31</f>
        <v>42522</v>
      </c>
      <c r="G327" s="963">
        <f>IF(SUM($G$301:G326)=1,0,IF($C$300&lt;F327,1,0))</f>
        <v>0</v>
      </c>
      <c r="H327" s="965">
        <f t="shared" si="54"/>
        <v>42491</v>
      </c>
    </row>
    <row r="328" spans="6:8">
      <c r="F328" s="965">
        <f t="shared" ref="F328:F333" si="55">F327+30</f>
        <v>42552</v>
      </c>
      <c r="G328" s="963">
        <f>IF(SUM($G$301:G327)=1,0,IF($C$300&lt;F328,1,0))</f>
        <v>0</v>
      </c>
      <c r="H328" s="965">
        <f t="shared" si="54"/>
        <v>42522</v>
      </c>
    </row>
    <row r="329" spans="6:8">
      <c r="F329" s="965">
        <f>F328+31</f>
        <v>42583</v>
      </c>
      <c r="G329" s="963">
        <f>IF(SUM($G$301:G328)=1,0,IF($C$300&lt;F329,1,0))</f>
        <v>0</v>
      </c>
      <c r="H329" s="965">
        <f t="shared" si="54"/>
        <v>42552</v>
      </c>
    </row>
    <row r="330" spans="6:8">
      <c r="F330" s="965">
        <f>F329+31</f>
        <v>42614</v>
      </c>
      <c r="G330" s="963">
        <f>IF(SUM($G$301:G329)=1,0,IF($C$300&lt;F330,1,0))</f>
        <v>0</v>
      </c>
      <c r="H330" s="965">
        <f t="shared" si="54"/>
        <v>42583</v>
      </c>
    </row>
    <row r="331" spans="6:8">
      <c r="F331" s="965">
        <f t="shared" si="55"/>
        <v>42644</v>
      </c>
      <c r="G331" s="963">
        <f>IF(SUM($G$301:G330)=1,0,IF($C$300&lt;F331,1,0))</f>
        <v>0</v>
      </c>
      <c r="H331" s="965">
        <f t="shared" si="54"/>
        <v>42614</v>
      </c>
    </row>
    <row r="332" spans="6:8">
      <c r="F332" s="965">
        <f>F331+31</f>
        <v>42675</v>
      </c>
      <c r="G332" s="963">
        <f>IF(SUM($G$301:G331)=1,0,IF($C$300&lt;F332,1,0))</f>
        <v>0</v>
      </c>
      <c r="H332" s="965">
        <f t="shared" si="54"/>
        <v>42644</v>
      </c>
    </row>
    <row r="333" spans="6:8">
      <c r="F333" s="965">
        <f t="shared" si="55"/>
        <v>42705</v>
      </c>
      <c r="G333" s="963">
        <f>IF(SUM($G$301:G332)=1,0,IF($C$300&lt;F333,1,0))</f>
        <v>0</v>
      </c>
      <c r="H333" s="965">
        <f t="shared" si="54"/>
        <v>42675</v>
      </c>
    </row>
    <row r="334" spans="6:8">
      <c r="F334" s="965">
        <f>F333+31</f>
        <v>42736</v>
      </c>
      <c r="G334" s="963">
        <f>IF(SUM($G$301:G333)=1,0,IF($C$300&lt;F334,1,0))</f>
        <v>0</v>
      </c>
      <c r="H334" s="965">
        <f t="shared" si="54"/>
        <v>42705</v>
      </c>
    </row>
    <row r="335" spans="6:8">
      <c r="F335" s="965">
        <f>F334+31</f>
        <v>42767</v>
      </c>
      <c r="G335" s="963">
        <f>IF(SUM($G$301:G334)=1,0,IF($C$300&lt;F335,1,0))</f>
        <v>0</v>
      </c>
      <c r="H335" s="965">
        <f t="shared" si="54"/>
        <v>42736</v>
      </c>
    </row>
    <row r="336" spans="6:8">
      <c r="F336" s="965">
        <f>IF(ISNA(VLOOKUP(F335,$E$4:$E$13,1,FALSE))=TRUE,F335+28,F335+29)</f>
        <v>42795</v>
      </c>
      <c r="G336" s="963">
        <f>IF(SUM($G$301:G335)=1,0,IF($C$300&lt;F336,1,0))</f>
        <v>0</v>
      </c>
      <c r="H336" s="965">
        <f t="shared" si="54"/>
        <v>42767</v>
      </c>
    </row>
    <row r="337" spans="1:8">
      <c r="F337" s="965">
        <f>F336+31</f>
        <v>42826</v>
      </c>
      <c r="G337" s="963">
        <f>IF(SUM($G$301:G336)=1,0,IF($C$300&lt;F337,1,0))</f>
        <v>0</v>
      </c>
      <c r="H337" s="965">
        <f t="shared" si="54"/>
        <v>42795</v>
      </c>
    </row>
    <row r="338" spans="1:8">
      <c r="F338" s="965">
        <f>F337+30</f>
        <v>42856</v>
      </c>
      <c r="G338" s="963">
        <f>IF(SUM($G$301:G337)=1,0,IF($C$300&lt;F338,1,0))</f>
        <v>0</v>
      </c>
      <c r="H338" s="965">
        <f t="shared" si="54"/>
        <v>42826</v>
      </c>
    </row>
    <row r="339" spans="1:8">
      <c r="F339" s="965">
        <f>F338+31</f>
        <v>42887</v>
      </c>
      <c r="G339" s="963">
        <f>IF(SUM($G$301:G338)=1,0,IF($C$300&lt;F339,1,0))</f>
        <v>0</v>
      </c>
      <c r="H339" s="965">
        <f t="shared" si="54"/>
        <v>42856</v>
      </c>
    </row>
    <row r="340" spans="1:8">
      <c r="F340" s="965">
        <f t="shared" ref="F340:F345" si="56">F339+30</f>
        <v>42917</v>
      </c>
      <c r="G340" s="963">
        <f>IF(SUM($G$301:G339)=1,0,IF($C$300&lt;F340,1,0))</f>
        <v>0</v>
      </c>
      <c r="H340" s="965">
        <f t="shared" si="54"/>
        <v>42887</v>
      </c>
    </row>
    <row r="341" spans="1:8">
      <c r="F341" s="965">
        <f>F340+31</f>
        <v>42948</v>
      </c>
      <c r="G341" s="963">
        <f>IF(SUM($G$301:G340)=1,0,IF($C$300&lt;F341,1,0))</f>
        <v>0</v>
      </c>
      <c r="H341" s="965">
        <f t="shared" si="54"/>
        <v>42917</v>
      </c>
    </row>
    <row r="342" spans="1:8">
      <c r="F342" s="965">
        <f>F341+31</f>
        <v>42979</v>
      </c>
      <c r="G342" s="963">
        <f>IF(SUM($G$301:G341)=1,0,IF($C$300&lt;F342,1,0))</f>
        <v>0</v>
      </c>
      <c r="H342" s="965">
        <f t="shared" si="54"/>
        <v>42948</v>
      </c>
    </row>
    <row r="343" spans="1:8">
      <c r="F343" s="965">
        <f t="shared" si="56"/>
        <v>43009</v>
      </c>
      <c r="G343" s="963">
        <f>IF(SUM($G$301:G342)=1,0,IF($C$300&lt;F343,1,0))</f>
        <v>0</v>
      </c>
      <c r="H343" s="965">
        <f t="shared" si="54"/>
        <v>42979</v>
      </c>
    </row>
    <row r="344" spans="1:8">
      <c r="F344" s="965">
        <f>F343+31</f>
        <v>43040</v>
      </c>
      <c r="G344" s="963">
        <f>IF(SUM($G$301:G343)=1,0,IF($C$300&lt;F344,1,0))</f>
        <v>0</v>
      </c>
      <c r="H344" s="965">
        <f t="shared" si="54"/>
        <v>43009</v>
      </c>
    </row>
    <row r="345" spans="1:8">
      <c r="F345" s="965">
        <f t="shared" si="56"/>
        <v>43070</v>
      </c>
      <c r="G345" s="963">
        <f>IF(SUM($G$301:G344)=1,0,IF($C$300&lt;F345,1,0))</f>
        <v>0</v>
      </c>
      <c r="H345" s="965">
        <f t="shared" si="54"/>
        <v>43040</v>
      </c>
    </row>
    <row r="346" spans="1:8">
      <c r="F346" s="965">
        <f>F345+31</f>
        <v>43101</v>
      </c>
      <c r="G346" s="963">
        <f>IF(SUM($G$301:G345)=1,0,IF($C$300&lt;F346,1,0))</f>
        <v>0</v>
      </c>
      <c r="H346" s="965">
        <f t="shared" si="54"/>
        <v>43070</v>
      </c>
    </row>
    <row r="347" spans="1:8">
      <c r="F347" s="965">
        <f>F346+31</f>
        <v>43132</v>
      </c>
      <c r="G347" s="963">
        <f>IF(SUM($G$301:G346)=1,0,IF($C$300&lt;F347,1,0))</f>
        <v>0</v>
      </c>
      <c r="H347" s="965">
        <f t="shared" si="54"/>
        <v>43101</v>
      </c>
    </row>
    <row r="348" spans="1:8">
      <c r="F348" s="965">
        <f>IF(ISNA(VLOOKUP(F347,$E$4:$E$13,1,FALSE))=TRUE,F347+28,F347+29)</f>
        <v>43160</v>
      </c>
      <c r="G348" s="963">
        <f>IF(SUM($G$301:G347)=1,0,IF($C$300&lt;F348,1,0))</f>
        <v>0</v>
      </c>
      <c r="H348" s="965">
        <f t="shared" si="54"/>
        <v>43132</v>
      </c>
    </row>
    <row r="349" spans="1:8">
      <c r="A349" s="982"/>
      <c r="B349" s="982"/>
      <c r="C349" s="982"/>
      <c r="D349" s="982"/>
      <c r="E349" s="982"/>
      <c r="F349" s="981">
        <f>F348+31</f>
        <v>43191</v>
      </c>
      <c r="G349" s="982">
        <f>IF(SUM($G$301:G348)=1,0,IF($C$300&lt;F349,1,0))</f>
        <v>0</v>
      </c>
      <c r="H349" s="981">
        <f t="shared" si="54"/>
        <v>43160</v>
      </c>
    </row>
    <row r="350" spans="1:8">
      <c r="F350" s="965">
        <f>F349+30</f>
        <v>43221</v>
      </c>
      <c r="G350" s="963">
        <f>IF(SUM($G$301:G349)=1,0,IF($C$300&lt;F350,1,0))</f>
        <v>0</v>
      </c>
      <c r="H350" s="965">
        <f t="shared" si="54"/>
        <v>43191</v>
      </c>
    </row>
    <row r="351" spans="1:8">
      <c r="F351" s="965">
        <f>F350+31</f>
        <v>43252</v>
      </c>
      <c r="G351" s="963">
        <f>IF(SUM($G$301:G350)=1,0,IF($C$300&lt;F351,1,0))</f>
        <v>0</v>
      </c>
      <c r="H351" s="965">
        <f t="shared" si="54"/>
        <v>43221</v>
      </c>
    </row>
    <row r="352" spans="1:8">
      <c r="F352" s="965">
        <f t="shared" ref="F352:F355" si="57">F351+30</f>
        <v>43282</v>
      </c>
      <c r="G352" s="963">
        <f>IF(SUM($G$301:G351)=1,0,IF($C$300&lt;F352,1,0))</f>
        <v>0</v>
      </c>
      <c r="H352" s="965">
        <f t="shared" si="54"/>
        <v>43252</v>
      </c>
    </row>
    <row r="353" spans="6:8">
      <c r="F353" s="965">
        <f>F352+31</f>
        <v>43313</v>
      </c>
      <c r="G353" s="963">
        <f>IF(SUM($G$301:G352)=1,0,IF($C$300&lt;F353,1,0))</f>
        <v>0</v>
      </c>
      <c r="H353" s="965">
        <f t="shared" si="54"/>
        <v>43282</v>
      </c>
    </row>
    <row r="354" spans="6:8">
      <c r="F354" s="965">
        <f>F353+31</f>
        <v>43344</v>
      </c>
      <c r="G354" s="963">
        <f>IF(SUM($G$301:G353)=1,0,IF($C$300&lt;F354,1,0))</f>
        <v>0</v>
      </c>
      <c r="H354" s="965">
        <f t="shared" si="54"/>
        <v>43313</v>
      </c>
    </row>
    <row r="355" spans="6:8">
      <c r="F355" s="965">
        <f t="shared" si="57"/>
        <v>43374</v>
      </c>
      <c r="G355" s="963">
        <f>IF(SUM($G$301:G354)=1,0,IF($C$300&lt;F355,1,0))</f>
        <v>0</v>
      </c>
      <c r="H355" s="965">
        <f t="shared" si="54"/>
        <v>43344</v>
      </c>
    </row>
    <row r="356" spans="6:8">
      <c r="F356" s="965">
        <f>F355+31</f>
        <v>43405</v>
      </c>
      <c r="G356" s="963">
        <f>IF(SUM($G$301:G355)=1,0,IF($C$300&lt;F356,1,0))</f>
        <v>0</v>
      </c>
      <c r="H356" s="965">
        <f t="shared" si="54"/>
        <v>43374</v>
      </c>
    </row>
    <row r="357" spans="6:8">
      <c r="F357" s="965">
        <f>F356+30</f>
        <v>43435</v>
      </c>
      <c r="G357" s="963">
        <v>0</v>
      </c>
      <c r="H357" s="965">
        <v>43252</v>
      </c>
    </row>
    <row r="358" spans="6:8">
      <c r="F358" s="965">
        <f t="shared" ref="F358" si="58">F357+31</f>
        <v>43466</v>
      </c>
      <c r="G358" s="963">
        <v>0</v>
      </c>
      <c r="H358" s="965">
        <v>43252</v>
      </c>
    </row>
    <row r="359" spans="6:8">
      <c r="F359" s="965">
        <f>F358+31</f>
        <v>43497</v>
      </c>
      <c r="G359" s="963">
        <f>IF(SUM($G$301:G358)=1,0,IF($C$300&lt;F359,1,0))</f>
        <v>0</v>
      </c>
      <c r="H359" s="965">
        <f t="shared" si="54"/>
        <v>43466</v>
      </c>
    </row>
    <row r="360" spans="6:8">
      <c r="F360" s="965">
        <f>IF(ISNA(VLOOKUP(F359,$E$4:$E$13,1,FALSE))=TRUE,F359+28,F359+29)</f>
        <v>43525</v>
      </c>
      <c r="G360" s="963">
        <f>IF(SUM($G$301:G359)=1,0,IF($C$300&lt;F360,1,0))</f>
        <v>0</v>
      </c>
      <c r="H360" s="965">
        <f t="shared" si="54"/>
        <v>43497</v>
      </c>
    </row>
    <row r="361" spans="6:8">
      <c r="F361" s="965">
        <f>F360+31</f>
        <v>43556</v>
      </c>
      <c r="G361" s="963">
        <f>IF(SUM($G$301:G360)=1,0,IF($C$300&lt;F361,1,0))</f>
        <v>0</v>
      </c>
      <c r="H361" s="965">
        <f t="shared" si="54"/>
        <v>43525</v>
      </c>
    </row>
    <row r="362" spans="6:8">
      <c r="F362" s="965">
        <f>F361+30</f>
        <v>43586</v>
      </c>
      <c r="G362" s="963">
        <f>IF(SUM($G$301:G361)=1,0,IF($C$300&lt;F362,1,0))</f>
        <v>0</v>
      </c>
      <c r="H362" s="965">
        <f t="shared" si="54"/>
        <v>43556</v>
      </c>
    </row>
    <row r="363" spans="6:8">
      <c r="F363" s="965">
        <f>F362+31</f>
        <v>43617</v>
      </c>
      <c r="G363" s="963">
        <f>IF(SUM($G$301:G362)=1,0,IF($C$300&lt;F363,1,0))</f>
        <v>0</v>
      </c>
      <c r="H363" s="965">
        <f t="shared" si="54"/>
        <v>43586</v>
      </c>
    </row>
    <row r="364" spans="6:8">
      <c r="F364" s="965">
        <f t="shared" ref="F364:F369" si="59">F363+30</f>
        <v>43647</v>
      </c>
      <c r="G364" s="963">
        <f>IF(SUM($G$301:G363)=1,0,IF($C$300&lt;F364,1,0))</f>
        <v>0</v>
      </c>
      <c r="H364" s="965">
        <f t="shared" si="54"/>
        <v>43617</v>
      </c>
    </row>
    <row r="365" spans="6:8">
      <c r="F365" s="965">
        <f>F364+31</f>
        <v>43678</v>
      </c>
      <c r="G365" s="963">
        <f>IF(SUM($G$301:G364)=1,0,IF($C$300&lt;F365,1,0))</f>
        <v>0</v>
      </c>
      <c r="H365" s="965">
        <f t="shared" si="54"/>
        <v>43647</v>
      </c>
    </row>
    <row r="366" spans="6:8">
      <c r="F366" s="965">
        <f>F365+31</f>
        <v>43709</v>
      </c>
      <c r="G366" s="963">
        <f>IF(SUM($G$301:G365)=1,0,IF($C$300&lt;F366,1,0))</f>
        <v>0</v>
      </c>
      <c r="H366" s="965">
        <f t="shared" si="54"/>
        <v>43678</v>
      </c>
    </row>
    <row r="367" spans="6:8">
      <c r="F367" s="965">
        <f t="shared" si="59"/>
        <v>43739</v>
      </c>
      <c r="G367" s="963">
        <f>IF(SUM($G$301:G366)=1,0,IF($C$300&lt;F367,1,0))</f>
        <v>0</v>
      </c>
      <c r="H367" s="965">
        <f t="shared" si="54"/>
        <v>43709</v>
      </c>
    </row>
    <row r="368" spans="6:8">
      <c r="F368" s="965">
        <f>F367+31</f>
        <v>43770</v>
      </c>
      <c r="G368" s="963">
        <f>IF(SUM($G$301:G367)=1,0,IF($C$300&lt;F368,1,0))</f>
        <v>0</v>
      </c>
      <c r="H368" s="965">
        <f t="shared" ref="H368:H431" si="60">F367</f>
        <v>43739</v>
      </c>
    </row>
    <row r="369" spans="6:8">
      <c r="F369" s="965">
        <f t="shared" si="59"/>
        <v>43800</v>
      </c>
      <c r="G369" s="963">
        <f>IF(SUM($G$301:G368)=1,0,IF($C$300&lt;F369,1,0))</f>
        <v>0</v>
      </c>
      <c r="H369" s="965">
        <f t="shared" si="60"/>
        <v>43770</v>
      </c>
    </row>
    <row r="370" spans="6:8">
      <c r="F370" s="965">
        <f>F369+31</f>
        <v>43831</v>
      </c>
      <c r="G370" s="963">
        <f>IF(SUM($G$301:G369)=1,0,IF($C$300&lt;F370,1,0))</f>
        <v>0</v>
      </c>
      <c r="H370" s="965">
        <f t="shared" si="60"/>
        <v>43800</v>
      </c>
    </row>
    <row r="371" spans="6:8">
      <c r="F371" s="965">
        <f>F370+31</f>
        <v>43862</v>
      </c>
      <c r="G371" s="963">
        <f>IF(SUM($G$301:G370)=1,0,IF($C$300&lt;F371,1,0))</f>
        <v>0</v>
      </c>
      <c r="H371" s="965">
        <f t="shared" si="60"/>
        <v>43831</v>
      </c>
    </row>
    <row r="372" spans="6:8">
      <c r="F372" s="965">
        <f>IF(ISNA(VLOOKUP(F371,$E$4:$E$13,1,FALSE))=TRUE,F371+28,F371+29)</f>
        <v>43891</v>
      </c>
      <c r="G372" s="963">
        <f>IF(SUM($G$301:G371)=1,0,IF($C$300&lt;F372,1,0))</f>
        <v>0</v>
      </c>
      <c r="H372" s="965">
        <f t="shared" si="60"/>
        <v>43862</v>
      </c>
    </row>
    <row r="373" spans="6:8">
      <c r="F373" s="965">
        <f>F372+31</f>
        <v>43922</v>
      </c>
      <c r="G373" s="963">
        <f>IF(SUM($G$301:G372)=1,0,IF($C$300&lt;F373,1,0))</f>
        <v>0</v>
      </c>
      <c r="H373" s="965">
        <f t="shared" si="60"/>
        <v>43891</v>
      </c>
    </row>
    <row r="374" spans="6:8">
      <c r="F374" s="965">
        <f>F373+30</f>
        <v>43952</v>
      </c>
      <c r="G374" s="963">
        <f>IF(SUM($G$301:G373)=1,0,IF($C$300&lt;F374,1,0))</f>
        <v>0</v>
      </c>
      <c r="H374" s="965">
        <f t="shared" si="60"/>
        <v>43922</v>
      </c>
    </row>
    <row r="375" spans="6:8">
      <c r="F375" s="965">
        <f>F374+31</f>
        <v>43983</v>
      </c>
      <c r="G375" s="963">
        <f>IF(SUM($G$301:G374)=1,0,IF($C$300&lt;F375,1,0))</f>
        <v>0</v>
      </c>
      <c r="H375" s="965">
        <f t="shared" si="60"/>
        <v>43952</v>
      </c>
    </row>
    <row r="376" spans="6:8">
      <c r="F376" s="965">
        <f t="shared" ref="F376:F381" si="61">F375+30</f>
        <v>44013</v>
      </c>
      <c r="G376" s="963">
        <f>IF(SUM($G$301:G375)=1,0,IF($C$300&lt;F376,1,0))</f>
        <v>0</v>
      </c>
      <c r="H376" s="965">
        <f t="shared" si="60"/>
        <v>43983</v>
      </c>
    </row>
    <row r="377" spans="6:8">
      <c r="F377" s="965">
        <f>F376+31</f>
        <v>44044</v>
      </c>
      <c r="G377" s="963">
        <f>IF(SUM($G$301:G376)=1,0,IF($C$300&lt;F377,1,0))</f>
        <v>0</v>
      </c>
      <c r="H377" s="965">
        <f t="shared" si="60"/>
        <v>44013</v>
      </c>
    </row>
    <row r="378" spans="6:8">
      <c r="F378" s="965">
        <f>F377+31</f>
        <v>44075</v>
      </c>
      <c r="G378" s="963">
        <f>IF(SUM($G$301:G377)=1,0,IF($C$300&lt;F378,1,0))</f>
        <v>0</v>
      </c>
      <c r="H378" s="965">
        <f t="shared" si="60"/>
        <v>44044</v>
      </c>
    </row>
    <row r="379" spans="6:8">
      <c r="F379" s="965">
        <f t="shared" si="61"/>
        <v>44105</v>
      </c>
      <c r="G379" s="963">
        <f>IF(SUM($G$301:G378)=1,0,IF($C$300&lt;F379,1,0))</f>
        <v>0</v>
      </c>
      <c r="H379" s="965">
        <f t="shared" si="60"/>
        <v>44075</v>
      </c>
    </row>
    <row r="380" spans="6:8">
      <c r="F380" s="965">
        <f>F379+31</f>
        <v>44136</v>
      </c>
      <c r="G380" s="963">
        <f>IF(SUM($G$301:G379)=1,0,IF($C$300&lt;F380,1,0))</f>
        <v>0</v>
      </c>
      <c r="H380" s="965">
        <f t="shared" si="60"/>
        <v>44105</v>
      </c>
    </row>
    <row r="381" spans="6:8">
      <c r="F381" s="965">
        <f t="shared" si="61"/>
        <v>44166</v>
      </c>
      <c r="G381" s="963">
        <f>IF(SUM($G$301:G380)=1,0,IF($C$300&lt;F381,1,0))</f>
        <v>0</v>
      </c>
      <c r="H381" s="965">
        <f t="shared" si="60"/>
        <v>44136</v>
      </c>
    </row>
    <row r="382" spans="6:8">
      <c r="F382" s="965">
        <f>F381+31</f>
        <v>44197</v>
      </c>
      <c r="G382" s="963">
        <f>IF(SUM($G$301:G381)=1,0,IF($C$300&lt;F382,1,0))</f>
        <v>0</v>
      </c>
      <c r="H382" s="965">
        <f t="shared" si="60"/>
        <v>44166</v>
      </c>
    </row>
    <row r="383" spans="6:8">
      <c r="F383" s="965">
        <f>F382+31</f>
        <v>44228</v>
      </c>
      <c r="G383" s="963">
        <f>IF(SUM($G$301:G382)=1,0,IF($C$300&lt;F383,1,0))</f>
        <v>0</v>
      </c>
      <c r="H383" s="965">
        <f t="shared" si="60"/>
        <v>44197</v>
      </c>
    </row>
    <row r="384" spans="6:8">
      <c r="F384" s="965">
        <f>IF(ISNA(VLOOKUP(F383,$E$4:$E$13,1,FALSE))=TRUE,F383+28,F383+29)</f>
        <v>44256</v>
      </c>
      <c r="G384" s="963">
        <f>IF(SUM($G$301:G383)=1,0,IF($C$300&lt;F384,1,0))</f>
        <v>0</v>
      </c>
      <c r="H384" s="965">
        <f t="shared" si="60"/>
        <v>44228</v>
      </c>
    </row>
    <row r="385" spans="6:8">
      <c r="F385" s="965">
        <f>F384+31</f>
        <v>44287</v>
      </c>
      <c r="G385" s="963">
        <f>IF(SUM($G$301:G384)=1,0,IF($C$300&lt;F385,1,0))</f>
        <v>0</v>
      </c>
      <c r="H385" s="965">
        <f t="shared" si="60"/>
        <v>44256</v>
      </c>
    </row>
    <row r="386" spans="6:8">
      <c r="F386" s="965">
        <f>F385+30</f>
        <v>44317</v>
      </c>
      <c r="G386" s="963">
        <f>IF(SUM($G$301:G385)=1,0,IF($C$300&lt;F386,1,0))</f>
        <v>0</v>
      </c>
      <c r="H386" s="965">
        <f t="shared" si="60"/>
        <v>44287</v>
      </c>
    </row>
    <row r="387" spans="6:8">
      <c r="F387" s="965">
        <f>F386+31</f>
        <v>44348</v>
      </c>
      <c r="G387" s="963">
        <f>IF(SUM($G$301:G386)=1,0,IF($C$300&lt;F387,1,0))</f>
        <v>0</v>
      </c>
      <c r="H387" s="965">
        <f t="shared" si="60"/>
        <v>44317</v>
      </c>
    </row>
    <row r="388" spans="6:8">
      <c r="F388" s="965">
        <f t="shared" ref="F388:F393" si="62">F387+30</f>
        <v>44378</v>
      </c>
      <c r="G388" s="963">
        <f>IF(SUM($G$301:G387)=1,0,IF($C$300&lt;F388,1,0))</f>
        <v>0</v>
      </c>
      <c r="H388" s="965">
        <f t="shared" si="60"/>
        <v>44348</v>
      </c>
    </row>
    <row r="389" spans="6:8">
      <c r="F389" s="965">
        <f>F388+31</f>
        <v>44409</v>
      </c>
      <c r="G389" s="963">
        <f>IF(SUM($G$301:G388)=1,0,IF($C$300&lt;F389,1,0))</f>
        <v>0</v>
      </c>
      <c r="H389" s="965">
        <f t="shared" si="60"/>
        <v>44378</v>
      </c>
    </row>
    <row r="390" spans="6:8">
      <c r="F390" s="965">
        <f>F389+31</f>
        <v>44440</v>
      </c>
      <c r="G390" s="963">
        <f>IF(SUM($G$301:G389)=1,0,IF($C$300&lt;F390,1,0))</f>
        <v>0</v>
      </c>
      <c r="H390" s="965">
        <f t="shared" si="60"/>
        <v>44409</v>
      </c>
    </row>
    <row r="391" spans="6:8">
      <c r="F391" s="965">
        <f t="shared" si="62"/>
        <v>44470</v>
      </c>
      <c r="G391" s="963">
        <f>IF(SUM($G$301:G390)=1,0,IF($C$300&lt;F391,1,0))</f>
        <v>0</v>
      </c>
      <c r="H391" s="965">
        <f t="shared" si="60"/>
        <v>44440</v>
      </c>
    </row>
    <row r="392" spans="6:8">
      <c r="F392" s="965">
        <f>F391+31</f>
        <v>44501</v>
      </c>
      <c r="G392" s="963">
        <f>IF(SUM($G$301:G391)=1,0,IF($C$300&lt;F392,1,0))</f>
        <v>0</v>
      </c>
      <c r="H392" s="965">
        <f t="shared" si="60"/>
        <v>44470</v>
      </c>
    </row>
    <row r="393" spans="6:8">
      <c r="F393" s="965">
        <f t="shared" si="62"/>
        <v>44531</v>
      </c>
      <c r="G393" s="963">
        <f>IF(SUM($G$301:G392)=1,0,IF($C$300&lt;F393,1,0))</f>
        <v>0</v>
      </c>
      <c r="H393" s="965">
        <f t="shared" si="60"/>
        <v>44501</v>
      </c>
    </row>
    <row r="394" spans="6:8">
      <c r="F394" s="965">
        <f>F393+31</f>
        <v>44562</v>
      </c>
      <c r="G394" s="963">
        <f>IF(SUM($G$301:G393)=1,0,IF($C$300&lt;F394,1,0))</f>
        <v>0</v>
      </c>
      <c r="H394" s="965">
        <f t="shared" si="60"/>
        <v>44531</v>
      </c>
    </row>
    <row r="395" spans="6:8">
      <c r="F395" s="965">
        <f>F394+31</f>
        <v>44593</v>
      </c>
      <c r="G395" s="963">
        <f>IF(SUM($G$301:G394)=1,0,IF($C$300&lt;F395,1,0))</f>
        <v>0</v>
      </c>
      <c r="H395" s="965">
        <f t="shared" si="60"/>
        <v>44562</v>
      </c>
    </row>
    <row r="396" spans="6:8">
      <c r="F396" s="965">
        <f>IF(ISNA(VLOOKUP(F395,$E$4:$E$13,1,FALSE))=TRUE,F395+28,F395+29)</f>
        <v>44621</v>
      </c>
      <c r="G396" s="963">
        <f>IF(SUM($G$301:G395)=1,0,IF($C$300&lt;F396,1,0))</f>
        <v>0</v>
      </c>
      <c r="H396" s="965">
        <f t="shared" si="60"/>
        <v>44593</v>
      </c>
    </row>
    <row r="397" spans="6:8">
      <c r="F397" s="965">
        <f>F396+31</f>
        <v>44652</v>
      </c>
      <c r="G397" s="963">
        <f>IF(SUM($G$301:G396)=1,0,IF($C$300&lt;F397,1,0))</f>
        <v>0</v>
      </c>
      <c r="H397" s="965">
        <f t="shared" si="60"/>
        <v>44621</v>
      </c>
    </row>
    <row r="398" spans="6:8">
      <c r="F398" s="965">
        <f>F397+30</f>
        <v>44682</v>
      </c>
      <c r="G398" s="963">
        <f>IF(SUM($G$301:G397)=1,0,IF($C$300&lt;F398,1,0))</f>
        <v>0</v>
      </c>
      <c r="H398" s="965">
        <f t="shared" si="60"/>
        <v>44652</v>
      </c>
    </row>
    <row r="399" spans="6:8">
      <c r="F399" s="965">
        <f>F398+31</f>
        <v>44713</v>
      </c>
      <c r="G399" s="963">
        <f>IF(SUM($G$301:G398)=1,0,IF($C$300&lt;F399,1,0))</f>
        <v>0</v>
      </c>
      <c r="H399" s="965">
        <f t="shared" si="60"/>
        <v>44682</v>
      </c>
    </row>
    <row r="400" spans="6:8">
      <c r="F400" s="965">
        <f t="shared" ref="F400:F405" si="63">F399+30</f>
        <v>44743</v>
      </c>
      <c r="G400" s="963">
        <f>IF(SUM($G$301:G399)=1,0,IF($C$300&lt;F400,1,0))</f>
        <v>0</v>
      </c>
      <c r="H400" s="965">
        <f t="shared" si="60"/>
        <v>44713</v>
      </c>
    </row>
    <row r="401" spans="6:8">
      <c r="F401" s="965">
        <f>F400+31</f>
        <v>44774</v>
      </c>
      <c r="G401" s="963">
        <f>IF(SUM($G$301:G400)=1,0,IF($C$300&lt;F401,1,0))</f>
        <v>0</v>
      </c>
      <c r="H401" s="965">
        <f t="shared" si="60"/>
        <v>44743</v>
      </c>
    </row>
    <row r="402" spans="6:8">
      <c r="F402" s="965">
        <f>F401+31</f>
        <v>44805</v>
      </c>
      <c r="G402" s="963">
        <f>IF(SUM($G$301:G401)=1,0,IF($C$300&lt;F402,1,0))</f>
        <v>0</v>
      </c>
      <c r="H402" s="965">
        <f t="shared" si="60"/>
        <v>44774</v>
      </c>
    </row>
    <row r="403" spans="6:8">
      <c r="F403" s="965">
        <f t="shared" si="63"/>
        <v>44835</v>
      </c>
      <c r="G403" s="963">
        <f>IF(SUM($G$301:G402)=1,0,IF($C$300&lt;F403,1,0))</f>
        <v>0</v>
      </c>
      <c r="H403" s="965">
        <f t="shared" si="60"/>
        <v>44805</v>
      </c>
    </row>
    <row r="404" spans="6:8">
      <c r="F404" s="965">
        <f>F403+31</f>
        <v>44866</v>
      </c>
      <c r="G404" s="963">
        <f>IF(SUM($G$301:G403)=1,0,IF($C$300&lt;F404,1,0))</f>
        <v>0</v>
      </c>
      <c r="H404" s="965">
        <f t="shared" si="60"/>
        <v>44835</v>
      </c>
    </row>
    <row r="405" spans="6:8">
      <c r="F405" s="965">
        <f t="shared" si="63"/>
        <v>44896</v>
      </c>
      <c r="G405" s="963">
        <f>IF(SUM($G$301:G404)=1,0,IF($C$300&lt;F405,1,0))</f>
        <v>0</v>
      </c>
      <c r="H405" s="965">
        <f t="shared" si="60"/>
        <v>44866</v>
      </c>
    </row>
    <row r="406" spans="6:8">
      <c r="F406" s="965">
        <f>F405+31</f>
        <v>44927</v>
      </c>
      <c r="G406" s="963">
        <f>IF(SUM($G$301:G405)=1,0,IF($C$300&lt;F406,1,0))</f>
        <v>0</v>
      </c>
      <c r="H406" s="965">
        <f t="shared" si="60"/>
        <v>44896</v>
      </c>
    </row>
    <row r="407" spans="6:8">
      <c r="F407" s="965">
        <f>F406+31</f>
        <v>44958</v>
      </c>
      <c r="G407" s="963">
        <f>IF(SUM($G$301:G406)=1,0,IF($C$300&lt;F407,1,0))</f>
        <v>0</v>
      </c>
      <c r="H407" s="965">
        <f t="shared" si="60"/>
        <v>44927</v>
      </c>
    </row>
    <row r="408" spans="6:8">
      <c r="F408" s="965">
        <f>IF(ISNA(VLOOKUP(F407,$E$4:$E$13,1,FALSE))=TRUE,F407+28,F407+29)</f>
        <v>44986</v>
      </c>
      <c r="G408" s="963">
        <f>IF(SUM($G$301:G407)=1,0,IF($C$300&lt;F408,1,0))</f>
        <v>0</v>
      </c>
      <c r="H408" s="965">
        <f t="shared" si="60"/>
        <v>44958</v>
      </c>
    </row>
    <row r="409" spans="6:8">
      <c r="F409" s="965">
        <f>F408+31</f>
        <v>45017</v>
      </c>
      <c r="G409" s="963">
        <f>IF(SUM($G$301:G408)=1,0,IF($C$300&lt;F409,1,0))</f>
        <v>0</v>
      </c>
      <c r="H409" s="965">
        <f t="shared" si="60"/>
        <v>44986</v>
      </c>
    </row>
    <row r="410" spans="6:8">
      <c r="F410" s="965">
        <f>F409+30</f>
        <v>45047</v>
      </c>
      <c r="G410" s="963">
        <f>IF(SUM($G$301:G409)=1,0,IF($C$300&lt;F410,1,0))</f>
        <v>0</v>
      </c>
      <c r="H410" s="965">
        <f t="shared" si="60"/>
        <v>45017</v>
      </c>
    </row>
    <row r="411" spans="6:8">
      <c r="F411" s="965">
        <f>F410+31</f>
        <v>45078</v>
      </c>
      <c r="G411" s="963">
        <f>IF(SUM($G$301:G410)=1,0,IF($C$300&lt;F411,1,0))</f>
        <v>0</v>
      </c>
      <c r="H411" s="965">
        <f t="shared" si="60"/>
        <v>45047</v>
      </c>
    </row>
    <row r="412" spans="6:8">
      <c r="F412" s="965">
        <f t="shared" ref="F412:F417" si="64">F411+30</f>
        <v>45108</v>
      </c>
      <c r="G412" s="963">
        <f>IF(SUM($G$301:G411)=1,0,IF($C$300&lt;F412,1,0))</f>
        <v>0</v>
      </c>
      <c r="H412" s="965">
        <f t="shared" si="60"/>
        <v>45078</v>
      </c>
    </row>
    <row r="413" spans="6:8">
      <c r="F413" s="965">
        <f>F412+31</f>
        <v>45139</v>
      </c>
      <c r="G413" s="963">
        <f>IF(SUM($G$301:G412)=1,0,IF($C$300&lt;F413,1,0))</f>
        <v>0</v>
      </c>
      <c r="H413" s="965">
        <f t="shared" si="60"/>
        <v>45108</v>
      </c>
    </row>
    <row r="414" spans="6:8">
      <c r="F414" s="965">
        <f>F413+31</f>
        <v>45170</v>
      </c>
      <c r="G414" s="963">
        <f>IF(SUM($G$301:G413)=1,0,IF($C$300&lt;F414,1,0))</f>
        <v>0</v>
      </c>
      <c r="H414" s="965">
        <f t="shared" si="60"/>
        <v>45139</v>
      </c>
    </row>
    <row r="415" spans="6:8">
      <c r="F415" s="965">
        <f t="shared" si="64"/>
        <v>45200</v>
      </c>
      <c r="G415" s="963">
        <f>IF(SUM($G$301:G414)=1,0,IF($C$300&lt;F415,1,0))</f>
        <v>0</v>
      </c>
      <c r="H415" s="965">
        <f t="shared" si="60"/>
        <v>45170</v>
      </c>
    </row>
    <row r="416" spans="6:8">
      <c r="F416" s="965">
        <f>F415+31</f>
        <v>45231</v>
      </c>
      <c r="G416" s="963">
        <f>IF(SUM($G$301:G415)=1,0,IF($C$300&lt;F416,1,0))</f>
        <v>0</v>
      </c>
      <c r="H416" s="965">
        <f t="shared" si="60"/>
        <v>45200</v>
      </c>
    </row>
    <row r="417" spans="6:8">
      <c r="F417" s="965">
        <f t="shared" si="64"/>
        <v>45261</v>
      </c>
      <c r="G417" s="963">
        <f>IF(SUM($G$301:G416)=1,0,IF($C$300&lt;F417,1,0))</f>
        <v>0</v>
      </c>
      <c r="H417" s="965">
        <f t="shared" si="60"/>
        <v>45231</v>
      </c>
    </row>
    <row r="418" spans="6:8">
      <c r="F418" s="965">
        <f>F417+31</f>
        <v>45292</v>
      </c>
      <c r="G418" s="963">
        <f>IF(SUM($G$301:G417)=1,0,IF($C$300&lt;F418,1,0))</f>
        <v>0</v>
      </c>
      <c r="H418" s="965">
        <f t="shared" si="60"/>
        <v>45261</v>
      </c>
    </row>
    <row r="419" spans="6:8">
      <c r="F419" s="965">
        <f>F418+31</f>
        <v>45323</v>
      </c>
      <c r="G419" s="963">
        <f>IF(SUM($G$301:G418)=1,0,IF($C$300&lt;F419,1,0))</f>
        <v>0</v>
      </c>
      <c r="H419" s="965">
        <f t="shared" si="60"/>
        <v>45292</v>
      </c>
    </row>
    <row r="420" spans="6:8">
      <c r="F420" s="965">
        <f>IF(ISNA(VLOOKUP(F419,$E$4:$E$13,1,FALSE))=TRUE,F419+28,F419+29)</f>
        <v>45352</v>
      </c>
      <c r="G420" s="963">
        <f>IF(SUM($G$301:G419)=1,0,IF($C$300&lt;F420,1,0))</f>
        <v>0</v>
      </c>
      <c r="H420" s="965">
        <f t="shared" si="60"/>
        <v>45323</v>
      </c>
    </row>
    <row r="421" spans="6:8">
      <c r="F421" s="965">
        <f>F420+31</f>
        <v>45383</v>
      </c>
      <c r="G421" s="963">
        <f>IF(SUM($G$301:G420)=1,0,IF($C$300&lt;F421,1,0))</f>
        <v>0</v>
      </c>
      <c r="H421" s="965">
        <f t="shared" si="60"/>
        <v>45352</v>
      </c>
    </row>
    <row r="422" spans="6:8">
      <c r="F422" s="965">
        <f>F421+30</f>
        <v>45413</v>
      </c>
      <c r="G422" s="963">
        <f>IF(SUM($G$301:G421)=1,0,IF($C$300&lt;F422,1,0))</f>
        <v>0</v>
      </c>
      <c r="H422" s="965">
        <f t="shared" si="60"/>
        <v>45383</v>
      </c>
    </row>
    <row r="423" spans="6:8">
      <c r="F423" s="965">
        <f>F422+31</f>
        <v>45444</v>
      </c>
      <c r="G423" s="963">
        <f>IF(SUM($G$301:G422)=1,0,IF($C$300&lt;F423,1,0))</f>
        <v>0</v>
      </c>
      <c r="H423" s="965">
        <f t="shared" si="60"/>
        <v>45413</v>
      </c>
    </row>
    <row r="424" spans="6:8">
      <c r="F424" s="965">
        <f t="shared" ref="F424:F429" si="65">F423+30</f>
        <v>45474</v>
      </c>
      <c r="G424" s="963">
        <f>IF(SUM($G$301:G423)=1,0,IF($C$300&lt;F424,1,0))</f>
        <v>0</v>
      </c>
      <c r="H424" s="965">
        <f t="shared" si="60"/>
        <v>45444</v>
      </c>
    </row>
    <row r="425" spans="6:8">
      <c r="F425" s="965">
        <f>F424+31</f>
        <v>45505</v>
      </c>
      <c r="G425" s="963">
        <f>IF(SUM($G$301:G424)=1,0,IF($C$300&lt;F425,1,0))</f>
        <v>0</v>
      </c>
      <c r="H425" s="965">
        <f t="shared" si="60"/>
        <v>45474</v>
      </c>
    </row>
    <row r="426" spans="6:8">
      <c r="F426" s="965">
        <f>F425+31</f>
        <v>45536</v>
      </c>
      <c r="G426" s="963">
        <f>IF(SUM($G$301:G425)=1,0,IF($C$300&lt;F426,1,0))</f>
        <v>0</v>
      </c>
      <c r="H426" s="965">
        <f t="shared" si="60"/>
        <v>45505</v>
      </c>
    </row>
    <row r="427" spans="6:8">
      <c r="F427" s="965">
        <f t="shared" si="65"/>
        <v>45566</v>
      </c>
      <c r="G427" s="963">
        <f>IF(SUM($G$301:G426)=1,0,IF($C$300&lt;F427,1,0))</f>
        <v>0</v>
      </c>
      <c r="H427" s="965">
        <f t="shared" si="60"/>
        <v>45536</v>
      </c>
    </row>
    <row r="428" spans="6:8">
      <c r="F428" s="965">
        <f>F427+31</f>
        <v>45597</v>
      </c>
      <c r="G428" s="963">
        <f>IF(SUM($G$301:G427)=1,0,IF($C$300&lt;F428,1,0))</f>
        <v>0</v>
      </c>
      <c r="H428" s="965">
        <f t="shared" si="60"/>
        <v>45566</v>
      </c>
    </row>
    <row r="429" spans="6:8">
      <c r="F429" s="965">
        <f t="shared" si="65"/>
        <v>45627</v>
      </c>
      <c r="G429" s="963">
        <f>IF(SUM($G$301:G428)=1,0,IF($C$300&lt;F429,1,0))</f>
        <v>0</v>
      </c>
      <c r="H429" s="965">
        <f t="shared" si="60"/>
        <v>45597</v>
      </c>
    </row>
    <row r="430" spans="6:8">
      <c r="F430" s="965">
        <f>F429+31</f>
        <v>45658</v>
      </c>
      <c r="G430" s="963">
        <f>IF(SUM($G$301:G429)=1,0,IF($C$300&lt;F430,1,0))</f>
        <v>0</v>
      </c>
      <c r="H430" s="965">
        <f t="shared" si="60"/>
        <v>45627</v>
      </c>
    </row>
    <row r="431" spans="6:8">
      <c r="F431" s="965">
        <f>F430+31</f>
        <v>45689</v>
      </c>
      <c r="G431" s="963">
        <f>IF(SUM($G$301:G430)=1,0,IF($C$300&lt;F431,1,0))</f>
        <v>0</v>
      </c>
      <c r="H431" s="965">
        <f t="shared" si="60"/>
        <v>45658</v>
      </c>
    </row>
    <row r="432" spans="6:8">
      <c r="F432" s="965">
        <f>IF(ISNA(VLOOKUP(F431,$E$4:$E$13,1,FALSE))=TRUE,F431+28,F431+29)</f>
        <v>45717</v>
      </c>
      <c r="G432" s="963">
        <f>IF(SUM($G$301:G431)=1,0,IF($C$300&lt;F432,1,0))</f>
        <v>0</v>
      </c>
      <c r="H432" s="965">
        <f t="shared" ref="H432:H495" si="66">F431</f>
        <v>45689</v>
      </c>
    </row>
    <row r="433" spans="6:8">
      <c r="F433" s="965">
        <f>F432+31</f>
        <v>45748</v>
      </c>
      <c r="G433" s="963">
        <f>IF(SUM($G$301:G432)=1,0,IF($C$300&lt;F433,1,0))</f>
        <v>0</v>
      </c>
      <c r="H433" s="965">
        <f t="shared" si="66"/>
        <v>45717</v>
      </c>
    </row>
    <row r="434" spans="6:8">
      <c r="F434" s="965">
        <f>F433+30</f>
        <v>45778</v>
      </c>
      <c r="G434" s="963">
        <f>IF(SUM($G$301:G433)=1,0,IF($C$300&lt;F434,1,0))</f>
        <v>0</v>
      </c>
      <c r="H434" s="965">
        <f t="shared" si="66"/>
        <v>45748</v>
      </c>
    </row>
    <row r="435" spans="6:8">
      <c r="F435" s="965">
        <f>F434+31</f>
        <v>45809</v>
      </c>
      <c r="G435" s="963">
        <f>IF(SUM($G$301:G434)=1,0,IF($C$300&lt;F435,1,0))</f>
        <v>0</v>
      </c>
      <c r="H435" s="965">
        <f t="shared" si="66"/>
        <v>45778</v>
      </c>
    </row>
    <row r="436" spans="6:8">
      <c r="F436" s="965">
        <f t="shared" ref="F436:F441" si="67">F435+30</f>
        <v>45839</v>
      </c>
      <c r="G436" s="963">
        <f>IF(SUM($G$301:G435)=1,0,IF($C$300&lt;F436,1,0))</f>
        <v>0</v>
      </c>
      <c r="H436" s="965">
        <f t="shared" si="66"/>
        <v>45809</v>
      </c>
    </row>
    <row r="437" spans="6:8">
      <c r="F437" s="965">
        <f>F436+31</f>
        <v>45870</v>
      </c>
      <c r="G437" s="963">
        <f>IF(SUM($G$301:G436)=1,0,IF($C$300&lt;F437,1,0))</f>
        <v>0</v>
      </c>
      <c r="H437" s="965">
        <f t="shared" si="66"/>
        <v>45839</v>
      </c>
    </row>
    <row r="438" spans="6:8">
      <c r="F438" s="965">
        <f>F437+31</f>
        <v>45901</v>
      </c>
      <c r="G438" s="963">
        <f>IF(SUM($G$301:G437)=1,0,IF($C$300&lt;F438,1,0))</f>
        <v>0</v>
      </c>
      <c r="H438" s="965">
        <f t="shared" si="66"/>
        <v>45870</v>
      </c>
    </row>
    <row r="439" spans="6:8">
      <c r="F439" s="965">
        <f t="shared" si="67"/>
        <v>45931</v>
      </c>
      <c r="G439" s="963">
        <f>IF(SUM($G$301:G438)=1,0,IF($C$300&lt;F439,1,0))</f>
        <v>0</v>
      </c>
      <c r="H439" s="965">
        <f t="shared" si="66"/>
        <v>45901</v>
      </c>
    </row>
    <row r="440" spans="6:8">
      <c r="F440" s="965">
        <f>F439+31</f>
        <v>45962</v>
      </c>
      <c r="G440" s="963">
        <f>IF(SUM($G$301:G439)=1,0,IF($C$300&lt;F440,1,0))</f>
        <v>0</v>
      </c>
      <c r="H440" s="965">
        <f t="shared" si="66"/>
        <v>45931</v>
      </c>
    </row>
    <row r="441" spans="6:8">
      <c r="F441" s="965">
        <f t="shared" si="67"/>
        <v>45992</v>
      </c>
      <c r="G441" s="963">
        <f>IF(SUM($G$301:G440)=1,0,IF($C$300&lt;F441,1,0))</f>
        <v>0</v>
      </c>
      <c r="H441" s="965">
        <f t="shared" si="66"/>
        <v>45962</v>
      </c>
    </row>
    <row r="442" spans="6:8">
      <c r="F442" s="965">
        <f>F441+31</f>
        <v>46023</v>
      </c>
      <c r="G442" s="963">
        <f>IF(SUM($G$301:G441)=1,0,IF($C$300&lt;F442,1,0))</f>
        <v>0</v>
      </c>
      <c r="H442" s="965">
        <f t="shared" si="66"/>
        <v>45992</v>
      </c>
    </row>
    <row r="443" spans="6:8">
      <c r="F443" s="965">
        <f>F442+31</f>
        <v>46054</v>
      </c>
      <c r="G443" s="963">
        <f>IF(SUM($G$301:G442)=1,0,IF($C$300&lt;F443,1,0))</f>
        <v>1</v>
      </c>
      <c r="H443" s="965">
        <f t="shared" si="66"/>
        <v>46023</v>
      </c>
    </row>
    <row r="444" spans="6:8">
      <c r="F444" s="965">
        <f>IF(ISNA(VLOOKUP(F443,$E$4:$E$13,1,FALSE))=TRUE,F443+28,F443+29)</f>
        <v>46082</v>
      </c>
      <c r="G444" s="963">
        <f>IF(SUM($G$301:G443)=1,0,IF($C$300&lt;F444,1,0))</f>
        <v>0</v>
      </c>
      <c r="H444" s="965">
        <f t="shared" si="66"/>
        <v>46054</v>
      </c>
    </row>
    <row r="445" spans="6:8">
      <c r="F445" s="965">
        <f>F444+31</f>
        <v>46113</v>
      </c>
      <c r="G445" s="963">
        <f>IF(SUM($G$301:G444)=1,0,IF($C$300&lt;F445,1,0))</f>
        <v>0</v>
      </c>
      <c r="H445" s="965">
        <f t="shared" si="66"/>
        <v>46082</v>
      </c>
    </row>
    <row r="446" spans="6:8">
      <c r="F446" s="965">
        <f>F445+30</f>
        <v>46143</v>
      </c>
      <c r="G446" s="963">
        <f>IF(SUM($G$301:G445)=1,0,IF($C$300&lt;F446,1,0))</f>
        <v>0</v>
      </c>
      <c r="H446" s="965">
        <f t="shared" si="66"/>
        <v>46113</v>
      </c>
    </row>
    <row r="447" spans="6:8">
      <c r="F447" s="965">
        <f>F446+31</f>
        <v>46174</v>
      </c>
      <c r="G447" s="963">
        <f>IF(SUM($G$301:G446)=1,0,IF($C$300&lt;F447,1,0))</f>
        <v>0</v>
      </c>
      <c r="H447" s="965">
        <f t="shared" si="66"/>
        <v>46143</v>
      </c>
    </row>
    <row r="448" spans="6:8">
      <c r="F448" s="965">
        <f t="shared" ref="F448:F453" si="68">F447+30</f>
        <v>46204</v>
      </c>
      <c r="G448" s="963">
        <f>IF(SUM($G$301:G447)=1,0,IF($C$300&lt;F448,1,0))</f>
        <v>0</v>
      </c>
      <c r="H448" s="965">
        <f t="shared" si="66"/>
        <v>46174</v>
      </c>
    </row>
    <row r="449" spans="6:8">
      <c r="F449" s="965">
        <f>F448+31</f>
        <v>46235</v>
      </c>
      <c r="G449" s="963">
        <f>IF(SUM($G$301:G448)=1,0,IF($C$300&lt;F449,1,0))</f>
        <v>0</v>
      </c>
      <c r="H449" s="965">
        <f t="shared" si="66"/>
        <v>46204</v>
      </c>
    </row>
    <row r="450" spans="6:8">
      <c r="F450" s="965">
        <f>F449+31</f>
        <v>46266</v>
      </c>
      <c r="G450" s="963">
        <f>IF(SUM($G$301:G449)=1,0,IF($C$300&lt;F450,1,0))</f>
        <v>0</v>
      </c>
      <c r="H450" s="965">
        <f t="shared" si="66"/>
        <v>46235</v>
      </c>
    </row>
    <row r="451" spans="6:8">
      <c r="F451" s="965">
        <f t="shared" si="68"/>
        <v>46296</v>
      </c>
      <c r="G451" s="963">
        <f>IF(SUM($G$301:G450)=1,0,IF($C$300&lt;F451,1,0))</f>
        <v>0</v>
      </c>
      <c r="H451" s="965">
        <f t="shared" si="66"/>
        <v>46266</v>
      </c>
    </row>
    <row r="452" spans="6:8">
      <c r="F452" s="965">
        <f>F451+31</f>
        <v>46327</v>
      </c>
      <c r="G452" s="963">
        <f>IF(SUM($G$301:G451)=1,0,IF($C$300&lt;F452,1,0))</f>
        <v>0</v>
      </c>
      <c r="H452" s="965">
        <f t="shared" si="66"/>
        <v>46296</v>
      </c>
    </row>
    <row r="453" spans="6:8">
      <c r="F453" s="965">
        <f t="shared" si="68"/>
        <v>46357</v>
      </c>
      <c r="G453" s="963">
        <f>IF(SUM($G$301:G452)=1,0,IF($C$300&lt;F453,1,0))</f>
        <v>0</v>
      </c>
      <c r="H453" s="965">
        <f t="shared" si="66"/>
        <v>46327</v>
      </c>
    </row>
    <row r="454" spans="6:8">
      <c r="F454" s="965">
        <f>F453+31</f>
        <v>46388</v>
      </c>
      <c r="G454" s="963">
        <f>IF(SUM($G$301:G453)=1,0,IF($C$300&lt;F454,1,0))</f>
        <v>0</v>
      </c>
      <c r="H454" s="965">
        <f t="shared" si="66"/>
        <v>46357</v>
      </c>
    </row>
    <row r="455" spans="6:8">
      <c r="F455" s="965">
        <f>F454+31</f>
        <v>46419</v>
      </c>
      <c r="G455" s="963">
        <f>IF(SUM($G$301:G454)=1,0,IF($C$300&lt;F455,1,0))</f>
        <v>0</v>
      </c>
      <c r="H455" s="965">
        <f t="shared" si="66"/>
        <v>46388</v>
      </c>
    </row>
    <row r="456" spans="6:8">
      <c r="F456" s="965">
        <f>IF(ISNA(VLOOKUP(F455,$E$4:$E$13,1,FALSE))=TRUE,F455+28,F455+29)</f>
        <v>46447</v>
      </c>
      <c r="G456" s="963">
        <f>IF(SUM($G$301:G455)=1,0,IF($C$300&lt;F456,1,0))</f>
        <v>0</v>
      </c>
      <c r="H456" s="965">
        <f t="shared" si="66"/>
        <v>46419</v>
      </c>
    </row>
    <row r="457" spans="6:8">
      <c r="F457" s="965">
        <f>F456+31</f>
        <v>46478</v>
      </c>
      <c r="G457" s="963">
        <f>IF(SUM($G$301:G456)=1,0,IF($C$300&lt;F457,1,0))</f>
        <v>0</v>
      </c>
      <c r="H457" s="965">
        <f t="shared" si="66"/>
        <v>46447</v>
      </c>
    </row>
    <row r="458" spans="6:8">
      <c r="F458" s="965">
        <f>F457+30</f>
        <v>46508</v>
      </c>
      <c r="G458" s="963">
        <f>IF(SUM($G$301:G457)=1,0,IF($C$300&lt;F458,1,0))</f>
        <v>0</v>
      </c>
      <c r="H458" s="965">
        <f t="shared" si="66"/>
        <v>46478</v>
      </c>
    </row>
    <row r="459" spans="6:8">
      <c r="F459" s="965">
        <f>F458+31</f>
        <v>46539</v>
      </c>
      <c r="G459" s="963">
        <f>IF(SUM($G$301:G458)=1,0,IF($C$300&lt;F459,1,0))</f>
        <v>0</v>
      </c>
      <c r="H459" s="965">
        <f t="shared" si="66"/>
        <v>46508</v>
      </c>
    </row>
    <row r="460" spans="6:8">
      <c r="F460" s="965">
        <f t="shared" ref="F460:F465" si="69">F459+30</f>
        <v>46569</v>
      </c>
      <c r="G460" s="963">
        <f>IF(SUM($G$301:G459)=1,0,IF($C$300&lt;F460,1,0))</f>
        <v>0</v>
      </c>
      <c r="H460" s="965">
        <f t="shared" si="66"/>
        <v>46539</v>
      </c>
    </row>
    <row r="461" spans="6:8">
      <c r="F461" s="965">
        <f>F460+31</f>
        <v>46600</v>
      </c>
      <c r="G461" s="963">
        <f>IF(SUM($G$301:G460)=1,0,IF($C$300&lt;F461,1,0))</f>
        <v>0</v>
      </c>
      <c r="H461" s="965">
        <f t="shared" si="66"/>
        <v>46569</v>
      </c>
    </row>
    <row r="462" spans="6:8">
      <c r="F462" s="965">
        <f>F461+31</f>
        <v>46631</v>
      </c>
      <c r="G462" s="963">
        <f>IF(SUM($G$301:G461)=1,0,IF($C$300&lt;F462,1,0))</f>
        <v>0</v>
      </c>
      <c r="H462" s="965">
        <f t="shared" si="66"/>
        <v>46600</v>
      </c>
    </row>
    <row r="463" spans="6:8">
      <c r="F463" s="965">
        <f t="shared" si="69"/>
        <v>46661</v>
      </c>
      <c r="G463" s="963">
        <f>IF(SUM($G$301:G462)=1,0,IF($C$300&lt;F463,1,0))</f>
        <v>0</v>
      </c>
      <c r="H463" s="965">
        <f t="shared" si="66"/>
        <v>46631</v>
      </c>
    </row>
    <row r="464" spans="6:8">
      <c r="F464" s="965">
        <f>F463+31</f>
        <v>46692</v>
      </c>
      <c r="G464" s="963">
        <f>IF(SUM($G$301:G463)=1,0,IF($C$300&lt;F464,1,0))</f>
        <v>0</v>
      </c>
      <c r="H464" s="965">
        <f t="shared" si="66"/>
        <v>46661</v>
      </c>
    </row>
    <row r="465" spans="6:8">
      <c r="F465" s="965">
        <f t="shared" si="69"/>
        <v>46722</v>
      </c>
      <c r="G465" s="963">
        <f>IF(SUM($G$301:G464)=1,0,IF($C$300&lt;F465,1,0))</f>
        <v>0</v>
      </c>
      <c r="H465" s="965">
        <f t="shared" si="66"/>
        <v>46692</v>
      </c>
    </row>
    <row r="466" spans="6:8">
      <c r="F466" s="965">
        <f>F465+31</f>
        <v>46753</v>
      </c>
      <c r="G466" s="963">
        <f>IF(SUM($G$301:G465)=1,0,IF($C$300&lt;F466,1,0))</f>
        <v>0</v>
      </c>
      <c r="H466" s="965">
        <f t="shared" si="66"/>
        <v>46722</v>
      </c>
    </row>
    <row r="467" spans="6:8">
      <c r="F467" s="965">
        <f>F466+31</f>
        <v>46784</v>
      </c>
      <c r="G467" s="963">
        <f>IF(SUM($G$301:G466)=1,0,IF($C$300&lt;F467,1,0))</f>
        <v>0</v>
      </c>
      <c r="H467" s="965">
        <f t="shared" si="66"/>
        <v>46753</v>
      </c>
    </row>
    <row r="468" spans="6:8">
      <c r="F468" s="965">
        <f>IF(ISNA(VLOOKUP(F467,$E$4:$E$13,1,FALSE))=TRUE,F467+28,F467+29)</f>
        <v>46813</v>
      </c>
      <c r="G468" s="963">
        <f>IF(SUM($G$301:G467)=1,0,IF($C$300&lt;F468,1,0))</f>
        <v>0</v>
      </c>
      <c r="H468" s="965">
        <f t="shared" si="66"/>
        <v>46784</v>
      </c>
    </row>
    <row r="469" spans="6:8">
      <c r="F469" s="965">
        <f>F468+31</f>
        <v>46844</v>
      </c>
      <c r="G469" s="963">
        <f>IF(SUM($G$301:G468)=1,0,IF($C$300&lt;F469,1,0))</f>
        <v>0</v>
      </c>
      <c r="H469" s="965">
        <f t="shared" si="66"/>
        <v>46813</v>
      </c>
    </row>
    <row r="470" spans="6:8">
      <c r="F470" s="965">
        <f>F469+30</f>
        <v>46874</v>
      </c>
      <c r="G470" s="963">
        <f>IF(SUM($G$301:G469)=1,0,IF($C$300&lt;F470,1,0))</f>
        <v>0</v>
      </c>
      <c r="H470" s="965">
        <f t="shared" si="66"/>
        <v>46844</v>
      </c>
    </row>
    <row r="471" spans="6:8">
      <c r="F471" s="965">
        <f>F470+31</f>
        <v>46905</v>
      </c>
      <c r="G471" s="963">
        <f>IF(SUM($G$301:G470)=1,0,IF($C$300&lt;F471,1,0))</f>
        <v>0</v>
      </c>
      <c r="H471" s="965">
        <f t="shared" si="66"/>
        <v>46874</v>
      </c>
    </row>
    <row r="472" spans="6:8">
      <c r="F472" s="965">
        <f t="shared" ref="F472:F477" si="70">F471+30</f>
        <v>46935</v>
      </c>
      <c r="G472" s="963">
        <f>IF(SUM($G$301:G471)=1,0,IF($C$300&lt;F472,1,0))</f>
        <v>0</v>
      </c>
      <c r="H472" s="965">
        <f t="shared" si="66"/>
        <v>46905</v>
      </c>
    </row>
    <row r="473" spans="6:8">
      <c r="F473" s="965">
        <f>F472+31</f>
        <v>46966</v>
      </c>
      <c r="G473" s="963">
        <f>IF(SUM($G$301:G472)=1,0,IF($C$300&lt;F473,1,0))</f>
        <v>0</v>
      </c>
      <c r="H473" s="965">
        <f t="shared" si="66"/>
        <v>46935</v>
      </c>
    </row>
    <row r="474" spans="6:8">
      <c r="F474" s="965">
        <f>F473+31</f>
        <v>46997</v>
      </c>
      <c r="G474" s="963">
        <f>IF(SUM($G$301:G473)=1,0,IF($C$300&lt;F474,1,0))</f>
        <v>0</v>
      </c>
      <c r="H474" s="965">
        <f t="shared" si="66"/>
        <v>46966</v>
      </c>
    </row>
    <row r="475" spans="6:8">
      <c r="F475" s="965">
        <f t="shared" si="70"/>
        <v>47027</v>
      </c>
      <c r="G475" s="963">
        <f>IF(SUM($G$301:G474)=1,0,IF($C$300&lt;F475,1,0))</f>
        <v>0</v>
      </c>
      <c r="H475" s="965">
        <f t="shared" si="66"/>
        <v>46997</v>
      </c>
    </row>
    <row r="476" spans="6:8">
      <c r="F476" s="965">
        <f>F475+31</f>
        <v>47058</v>
      </c>
      <c r="G476" s="963">
        <f>IF(SUM($G$301:G475)=1,0,IF($C$300&lt;F476,1,0))</f>
        <v>0</v>
      </c>
      <c r="H476" s="965">
        <f t="shared" si="66"/>
        <v>47027</v>
      </c>
    </row>
    <row r="477" spans="6:8">
      <c r="F477" s="965">
        <f t="shared" si="70"/>
        <v>47088</v>
      </c>
      <c r="G477" s="963">
        <f>IF(SUM($G$301:G476)=1,0,IF($C$300&lt;F477,1,0))</f>
        <v>0</v>
      </c>
      <c r="H477" s="965">
        <f t="shared" si="66"/>
        <v>47058</v>
      </c>
    </row>
    <row r="478" spans="6:8">
      <c r="F478" s="965">
        <f>F477+31</f>
        <v>47119</v>
      </c>
      <c r="G478" s="963">
        <f>IF(SUM($G$301:G477)=1,0,IF($C$300&lt;F478,1,0))</f>
        <v>0</v>
      </c>
      <c r="H478" s="965">
        <f t="shared" si="66"/>
        <v>47088</v>
      </c>
    </row>
    <row r="479" spans="6:8">
      <c r="F479" s="965">
        <f>F478+31</f>
        <v>47150</v>
      </c>
      <c r="G479" s="963">
        <f>IF(SUM($G$301:G478)=1,0,IF($C$300&lt;F479,1,0))</f>
        <v>0</v>
      </c>
      <c r="H479" s="965">
        <f t="shared" si="66"/>
        <v>47119</v>
      </c>
    </row>
    <row r="480" spans="6:8">
      <c r="F480" s="965">
        <f>IF(ISNA(VLOOKUP(F479,$E$4:$E$13,1,FALSE))=TRUE,F479+28,F479+29)</f>
        <v>47178</v>
      </c>
      <c r="G480" s="963">
        <f>IF(SUM($G$301:G479)=1,0,IF($C$300&lt;F480,1,0))</f>
        <v>0</v>
      </c>
      <c r="H480" s="965">
        <f t="shared" si="66"/>
        <v>47150</v>
      </c>
    </row>
    <row r="481" spans="6:8">
      <c r="F481" s="965">
        <f>F480+31</f>
        <v>47209</v>
      </c>
      <c r="G481" s="963">
        <f>IF(SUM($G$301:G480)=1,0,IF($C$300&lt;F481,1,0))</f>
        <v>0</v>
      </c>
      <c r="H481" s="965">
        <f t="shared" si="66"/>
        <v>47178</v>
      </c>
    </row>
    <row r="482" spans="6:8">
      <c r="F482" s="965">
        <f>F481+30</f>
        <v>47239</v>
      </c>
      <c r="G482" s="963">
        <f>IF(SUM($G$301:G481)=1,0,IF($C$300&lt;F482,1,0))</f>
        <v>0</v>
      </c>
      <c r="H482" s="965">
        <f t="shared" si="66"/>
        <v>47209</v>
      </c>
    </row>
    <row r="483" spans="6:8">
      <c r="F483" s="965">
        <f>F482+31</f>
        <v>47270</v>
      </c>
      <c r="G483" s="963">
        <f>IF(SUM($G$301:G482)=1,0,IF($C$300&lt;F483,1,0))</f>
        <v>0</v>
      </c>
      <c r="H483" s="965">
        <f t="shared" si="66"/>
        <v>47239</v>
      </c>
    </row>
    <row r="484" spans="6:8">
      <c r="F484" s="965">
        <f t="shared" ref="F484:F489" si="71">F483+30</f>
        <v>47300</v>
      </c>
      <c r="G484" s="963">
        <f>IF(SUM($G$301:G483)=1,0,IF($C$300&lt;F484,1,0))</f>
        <v>0</v>
      </c>
      <c r="H484" s="965">
        <f t="shared" si="66"/>
        <v>47270</v>
      </c>
    </row>
    <row r="485" spans="6:8">
      <c r="F485" s="965">
        <f>F484+31</f>
        <v>47331</v>
      </c>
      <c r="G485" s="963">
        <f>IF(SUM($G$301:G484)=1,0,IF($C$300&lt;F485,1,0))</f>
        <v>0</v>
      </c>
      <c r="H485" s="965">
        <f t="shared" si="66"/>
        <v>47300</v>
      </c>
    </row>
    <row r="486" spans="6:8">
      <c r="F486" s="965">
        <f>F485+31</f>
        <v>47362</v>
      </c>
      <c r="G486" s="963">
        <f>IF(SUM($G$301:G485)=1,0,IF($C$300&lt;F486,1,0))</f>
        <v>0</v>
      </c>
      <c r="H486" s="965">
        <f t="shared" si="66"/>
        <v>47331</v>
      </c>
    </row>
    <row r="487" spans="6:8">
      <c r="F487" s="965">
        <f t="shared" si="71"/>
        <v>47392</v>
      </c>
      <c r="G487" s="963">
        <f>IF(SUM($G$301:G486)=1,0,IF($C$300&lt;F487,1,0))</f>
        <v>0</v>
      </c>
      <c r="H487" s="965">
        <f t="shared" si="66"/>
        <v>47362</v>
      </c>
    </row>
    <row r="488" spans="6:8">
      <c r="F488" s="965">
        <f>F487+31</f>
        <v>47423</v>
      </c>
      <c r="G488" s="963">
        <f>IF(SUM($G$301:G487)=1,0,IF($C$300&lt;F488,1,0))</f>
        <v>0</v>
      </c>
      <c r="H488" s="965">
        <f t="shared" si="66"/>
        <v>47392</v>
      </c>
    </row>
    <row r="489" spans="6:8">
      <c r="F489" s="965">
        <f t="shared" si="71"/>
        <v>47453</v>
      </c>
      <c r="G489" s="963">
        <f>IF(SUM($G$301:G488)=1,0,IF($C$300&lt;F489,1,0))</f>
        <v>0</v>
      </c>
      <c r="H489" s="965">
        <f t="shared" si="66"/>
        <v>47423</v>
      </c>
    </row>
    <row r="490" spans="6:8">
      <c r="F490" s="965">
        <f>F489+31</f>
        <v>47484</v>
      </c>
      <c r="G490" s="963">
        <f>IF(SUM($G$301:G489)=1,0,IF($C$300&lt;F490,1,0))</f>
        <v>0</v>
      </c>
      <c r="H490" s="965">
        <f t="shared" si="66"/>
        <v>47453</v>
      </c>
    </row>
    <row r="491" spans="6:8">
      <c r="F491" s="965">
        <f>F490+31</f>
        <v>47515</v>
      </c>
      <c r="G491" s="963">
        <f>IF(SUM($G$301:G490)=1,0,IF($C$300&lt;F491,1,0))</f>
        <v>0</v>
      </c>
      <c r="H491" s="965">
        <f t="shared" si="66"/>
        <v>47484</v>
      </c>
    </row>
    <row r="492" spans="6:8">
      <c r="F492" s="965">
        <f>IF(ISNA(VLOOKUP(F491,$E$4:$E$13,1,FALSE))=TRUE,F491+28,F491+29)</f>
        <v>47543</v>
      </c>
      <c r="G492" s="963">
        <f>IF(SUM($G$301:G491)=1,0,IF($C$300&lt;F492,1,0))</f>
        <v>0</v>
      </c>
      <c r="H492" s="965">
        <f t="shared" si="66"/>
        <v>47515</v>
      </c>
    </row>
    <row r="493" spans="6:8">
      <c r="F493" s="965">
        <f>F492+31</f>
        <v>47574</v>
      </c>
      <c r="G493" s="963">
        <f>IF(SUM($G$301:G492)=1,0,IF($C$300&lt;F493,1,0))</f>
        <v>0</v>
      </c>
      <c r="H493" s="965">
        <f t="shared" si="66"/>
        <v>47543</v>
      </c>
    </row>
    <row r="494" spans="6:8">
      <c r="F494" s="965">
        <f>F493+30</f>
        <v>47604</v>
      </c>
      <c r="G494" s="963">
        <f>IF(SUM($G$301:G493)=1,0,IF($C$300&lt;F494,1,0))</f>
        <v>0</v>
      </c>
      <c r="H494" s="965">
        <f t="shared" si="66"/>
        <v>47574</v>
      </c>
    </row>
    <row r="495" spans="6:8">
      <c r="F495" s="965">
        <f>F494+31</f>
        <v>47635</v>
      </c>
      <c r="G495" s="963">
        <f>IF(SUM($G$301:G494)=1,0,IF($C$300&lt;F495,1,0))</f>
        <v>0</v>
      </c>
      <c r="H495" s="965">
        <f t="shared" si="66"/>
        <v>47604</v>
      </c>
    </row>
    <row r="496" spans="6:8">
      <c r="F496" s="965">
        <f t="shared" ref="F496:F501" si="72">F495+30</f>
        <v>47665</v>
      </c>
      <c r="G496" s="963">
        <f>IF(SUM($G$301:G495)=1,0,IF($C$300&lt;F496,1,0))</f>
        <v>0</v>
      </c>
      <c r="H496" s="965">
        <f t="shared" ref="H496:H505" si="73">F495</f>
        <v>47635</v>
      </c>
    </row>
    <row r="497" spans="6:8">
      <c r="F497" s="965">
        <f>F496+31</f>
        <v>47696</v>
      </c>
      <c r="G497" s="963">
        <f>IF(SUM($G$301:G496)=1,0,IF($C$300&lt;F497,1,0))</f>
        <v>0</v>
      </c>
      <c r="H497" s="965">
        <f t="shared" si="73"/>
        <v>47665</v>
      </c>
    </row>
    <row r="498" spans="6:8">
      <c r="F498" s="965">
        <f>F497+31</f>
        <v>47727</v>
      </c>
      <c r="G498" s="963">
        <f>IF(SUM($G$301:G497)=1,0,IF($C$300&lt;F498,1,0))</f>
        <v>0</v>
      </c>
      <c r="H498" s="965">
        <f t="shared" si="73"/>
        <v>47696</v>
      </c>
    </row>
    <row r="499" spans="6:8">
      <c r="F499" s="965">
        <f t="shared" si="72"/>
        <v>47757</v>
      </c>
      <c r="G499" s="963">
        <f>IF(SUM($G$301:G498)=1,0,IF($C$300&lt;F499,1,0))</f>
        <v>0</v>
      </c>
      <c r="H499" s="965">
        <f t="shared" si="73"/>
        <v>47727</v>
      </c>
    </row>
    <row r="500" spans="6:8">
      <c r="F500" s="965">
        <f>F499+31</f>
        <v>47788</v>
      </c>
      <c r="G500" s="963">
        <f>IF(SUM($G$301:G499)=1,0,IF($C$300&lt;F500,1,0))</f>
        <v>0</v>
      </c>
      <c r="H500" s="965">
        <f t="shared" si="73"/>
        <v>47757</v>
      </c>
    </row>
    <row r="501" spans="6:8">
      <c r="F501" s="965">
        <f t="shared" si="72"/>
        <v>47818</v>
      </c>
      <c r="G501" s="963">
        <f>IF(SUM($G$301:G500)=1,0,IF($C$300&lt;F501,1,0))</f>
        <v>0</v>
      </c>
      <c r="H501" s="965">
        <f t="shared" si="73"/>
        <v>47788</v>
      </c>
    </row>
    <row r="502" spans="6:8">
      <c r="F502" s="965">
        <f>F501+31</f>
        <v>47849</v>
      </c>
      <c r="G502" s="963">
        <f>IF(SUM($G$301:G501)=1,0,IF($C$300&lt;F502,1,0))</f>
        <v>0</v>
      </c>
      <c r="H502" s="965">
        <f t="shared" si="73"/>
        <v>47818</v>
      </c>
    </row>
    <row r="503" spans="6:8">
      <c r="F503" s="965">
        <f>F502+31</f>
        <v>47880</v>
      </c>
      <c r="G503" s="963">
        <f>IF(SUM($G$301:G502)=1,0,IF($C$300&lt;F503,1,0))</f>
        <v>0</v>
      </c>
      <c r="H503" s="965">
        <f t="shared" si="73"/>
        <v>47849</v>
      </c>
    </row>
    <row r="504" spans="6:8">
      <c r="F504" s="965">
        <f>IF(ISNA(VLOOKUP(F503,$E$4:$E$13,1,FALSE))=TRUE,F503+28,F503+29)</f>
        <v>47908</v>
      </c>
      <c r="G504" s="963">
        <f>IF(SUM($G$301:G503)=1,0,IF($C$300&lt;F504,1,0))</f>
        <v>0</v>
      </c>
      <c r="H504" s="965">
        <f t="shared" si="73"/>
        <v>47880</v>
      </c>
    </row>
    <row r="505" spans="6:8">
      <c r="F505" s="965">
        <f>F504+31</f>
        <v>47939</v>
      </c>
      <c r="G505" s="963">
        <f>IF(SUM($G$301:G504)=1,0,IF($C$300&lt;F505,1,0))</f>
        <v>0</v>
      </c>
      <c r="H505" s="965">
        <f t="shared" si="73"/>
        <v>47908</v>
      </c>
    </row>
    <row r="1000" spans="2:22" ht="15.6">
      <c r="B1000" s="990" t="s">
        <v>51</v>
      </c>
      <c r="I1000" s="963" t="s">
        <v>52</v>
      </c>
    </row>
    <row r="1001" spans="2:22">
      <c r="I1001" s="963" t="s">
        <v>55</v>
      </c>
      <c r="R1001" s="963" t="s">
        <v>53</v>
      </c>
    </row>
    <row r="1002" spans="2:22">
      <c r="B1002" s="963" t="s">
        <v>54</v>
      </c>
      <c r="I1002" s="963" t="s">
        <v>57</v>
      </c>
      <c r="R1002" s="963" t="s">
        <v>56</v>
      </c>
    </row>
    <row r="1003" spans="2:22">
      <c r="I1003" s="963" t="s">
        <v>448</v>
      </c>
      <c r="R1003" s="963" t="s">
        <v>58</v>
      </c>
    </row>
    <row r="1004" spans="2:22">
      <c r="B1004" s="972" t="s">
        <v>105</v>
      </c>
      <c r="C1004" s="991" t="s">
        <v>456</v>
      </c>
      <c r="D1004" s="991"/>
      <c r="I1004" s="963" t="s">
        <v>380</v>
      </c>
      <c r="R1004" s="963" t="s">
        <v>59</v>
      </c>
    </row>
    <row r="1005" spans="2:22">
      <c r="B1005" s="972" t="s">
        <v>104</v>
      </c>
      <c r="C1005" s="992" t="s">
        <v>60</v>
      </c>
      <c r="D1005" s="992"/>
      <c r="E1005" s="992"/>
      <c r="F1005" s="992"/>
      <c r="G1005" s="992"/>
      <c r="H1005" s="992"/>
      <c r="R1005" s="963" t="s">
        <v>61</v>
      </c>
    </row>
    <row r="1006" spans="2:22">
      <c r="C1006" s="992"/>
      <c r="D1006" s="992"/>
      <c r="E1006" s="992"/>
      <c r="F1006" s="992"/>
      <c r="G1006" s="992"/>
      <c r="H1006" s="992"/>
      <c r="R1006" s="963" t="s">
        <v>62</v>
      </c>
      <c r="U1006" s="963" t="s">
        <v>365</v>
      </c>
    </row>
    <row r="1007" spans="2:22">
      <c r="R1007" s="963" t="s">
        <v>359</v>
      </c>
      <c r="U1007" s="963" t="s">
        <v>357</v>
      </c>
      <c r="V1007" s="991" t="s">
        <v>358</v>
      </c>
    </row>
    <row r="1008" spans="2:22">
      <c r="E1008" s="963" t="s">
        <v>63</v>
      </c>
      <c r="J1008" s="963" t="s">
        <v>64</v>
      </c>
      <c r="R1008" s="963" t="s">
        <v>24</v>
      </c>
    </row>
    <row r="1009" spans="1:26" ht="43.2">
      <c r="B1009" s="963" t="s">
        <v>65</v>
      </c>
      <c r="C1009" s="993" t="s">
        <v>66</v>
      </c>
      <c r="D1009" s="993" t="s">
        <v>67</v>
      </c>
      <c r="E1009" s="993" t="s">
        <v>68</v>
      </c>
      <c r="F1009" s="993" t="s">
        <v>69</v>
      </c>
      <c r="G1009" s="993" t="s">
        <v>70</v>
      </c>
      <c r="H1009" s="993" t="s">
        <v>71</v>
      </c>
      <c r="I1009" s="993" t="s">
        <v>72</v>
      </c>
      <c r="J1009" s="993" t="s">
        <v>73</v>
      </c>
      <c r="K1009" s="974" t="s">
        <v>372</v>
      </c>
      <c r="L1009" s="993" t="s">
        <v>379</v>
      </c>
    </row>
    <row r="1010" spans="1:26">
      <c r="A1010" s="963">
        <v>1</v>
      </c>
      <c r="B1010" s="991" t="s">
        <v>53</v>
      </c>
      <c r="C1010" s="991" t="s">
        <v>53</v>
      </c>
      <c r="D1010" s="991" t="s">
        <v>74</v>
      </c>
      <c r="E1010" s="910">
        <v>0.05</v>
      </c>
      <c r="F1010" s="910">
        <v>0.21</v>
      </c>
      <c r="G1010" s="910">
        <v>0.42</v>
      </c>
      <c r="H1010" s="910">
        <v>0.27</v>
      </c>
      <c r="I1010" s="910">
        <v>0.05</v>
      </c>
      <c r="J1010" s="914">
        <v>100000000</v>
      </c>
      <c r="K1010" s="915">
        <v>0.44642857142857145</v>
      </c>
      <c r="L1010" s="915">
        <v>0.74</v>
      </c>
      <c r="R1010" s="963" t="s">
        <v>364</v>
      </c>
    </row>
    <row r="1011" spans="1:26">
      <c r="A1011" s="963">
        <v>2</v>
      </c>
      <c r="B1011" s="991" t="s">
        <v>56</v>
      </c>
      <c r="C1011" s="991" t="s">
        <v>56</v>
      </c>
      <c r="D1011" s="991" t="s">
        <v>74</v>
      </c>
      <c r="E1011" s="910">
        <v>0.05</v>
      </c>
      <c r="F1011" s="910">
        <v>0.21</v>
      </c>
      <c r="G1011" s="910">
        <v>0.42</v>
      </c>
      <c r="H1011" s="910">
        <v>0.27</v>
      </c>
      <c r="I1011" s="910">
        <v>0.05</v>
      </c>
      <c r="J1011" s="914">
        <v>50000000</v>
      </c>
      <c r="K1011" s="915">
        <v>0.22321428571428573</v>
      </c>
      <c r="L1011" s="915">
        <v>0.74</v>
      </c>
      <c r="R1011" s="910"/>
      <c r="T1011" s="963" t="s">
        <v>76</v>
      </c>
      <c r="U1011" s="963" t="s">
        <v>77</v>
      </c>
      <c r="V1011" s="963" t="s">
        <v>78</v>
      </c>
      <c r="W1011" s="963" t="s">
        <v>79</v>
      </c>
      <c r="X1011" s="963" t="s">
        <v>80</v>
      </c>
    </row>
    <row r="1012" spans="1:26">
      <c r="A1012" s="963">
        <v>3</v>
      </c>
      <c r="B1012" s="991" t="s">
        <v>58</v>
      </c>
      <c r="C1012" s="991" t="s">
        <v>58</v>
      </c>
      <c r="D1012" s="991" t="s">
        <v>24</v>
      </c>
      <c r="E1012" s="910">
        <v>0</v>
      </c>
      <c r="F1012" s="910">
        <v>0</v>
      </c>
      <c r="G1012" s="910">
        <v>0</v>
      </c>
      <c r="H1012" s="910">
        <v>0.88</v>
      </c>
      <c r="I1012" s="910">
        <v>0.12</v>
      </c>
      <c r="J1012" s="914">
        <v>30000000</v>
      </c>
      <c r="K1012" s="915">
        <v>0.13392857142857142</v>
      </c>
      <c r="L1012" s="915">
        <v>0.42</v>
      </c>
      <c r="R1012" s="910"/>
      <c r="T1012" s="963" t="s">
        <v>81</v>
      </c>
      <c r="U1012" s="963" t="s">
        <v>82</v>
      </c>
      <c r="V1012" s="963" t="s">
        <v>83</v>
      </c>
      <c r="W1012" s="963" t="s">
        <v>84</v>
      </c>
      <c r="X1012" s="963" t="s">
        <v>85</v>
      </c>
      <c r="Z1012" s="963" t="s">
        <v>363</v>
      </c>
    </row>
    <row r="1013" spans="1:26">
      <c r="A1013" s="963">
        <v>4</v>
      </c>
      <c r="B1013" s="991" t="s">
        <v>86</v>
      </c>
      <c r="C1013" s="991" t="s">
        <v>59</v>
      </c>
      <c r="D1013" s="991" t="s">
        <v>24</v>
      </c>
      <c r="E1013" s="910">
        <v>0.05</v>
      </c>
      <c r="F1013" s="910">
        <v>0.21</v>
      </c>
      <c r="G1013" s="910">
        <v>0.42</v>
      </c>
      <c r="H1013" s="910">
        <v>0.27</v>
      </c>
      <c r="I1013" s="910">
        <v>0.05</v>
      </c>
      <c r="J1013" s="914">
        <v>20000000</v>
      </c>
      <c r="K1013" s="915">
        <v>8.9285714285714288E-2</v>
      </c>
      <c r="L1013" s="915">
        <v>1</v>
      </c>
      <c r="S1013" s="963" t="s">
        <v>74</v>
      </c>
      <c r="T1013" s="910">
        <v>0.05</v>
      </c>
      <c r="U1013" s="910">
        <v>0.21</v>
      </c>
      <c r="V1013" s="910">
        <v>0.42</v>
      </c>
      <c r="W1013" s="910">
        <v>0.27</v>
      </c>
      <c r="X1013" s="910">
        <v>0.05</v>
      </c>
      <c r="Y1013" s="916">
        <v>1</v>
      </c>
      <c r="Z1013" s="969">
        <v>1</v>
      </c>
    </row>
    <row r="1014" spans="1:26">
      <c r="A1014" s="963">
        <v>5</v>
      </c>
      <c r="B1014" s="991" t="s">
        <v>61</v>
      </c>
      <c r="C1014" s="991" t="s">
        <v>61</v>
      </c>
      <c r="D1014" s="991" t="s">
        <v>24</v>
      </c>
      <c r="E1014" s="910">
        <v>0</v>
      </c>
      <c r="F1014" s="910">
        <v>0.17</v>
      </c>
      <c r="G1014" s="910">
        <v>0.39</v>
      </c>
      <c r="H1014" s="910">
        <v>0.39</v>
      </c>
      <c r="I1014" s="910">
        <v>0.05</v>
      </c>
      <c r="J1014" s="914">
        <v>10000000</v>
      </c>
      <c r="K1014" s="915">
        <v>4.4642857142857144E-2</v>
      </c>
      <c r="L1014" s="915">
        <v>0.95000000000000007</v>
      </c>
      <c r="S1014" s="963" t="s">
        <v>76</v>
      </c>
      <c r="T1014" s="910">
        <v>1</v>
      </c>
      <c r="U1014" s="910">
        <v>0</v>
      </c>
      <c r="V1014" s="910">
        <v>0</v>
      </c>
      <c r="W1014" s="910">
        <v>0</v>
      </c>
      <c r="X1014" s="910">
        <v>0</v>
      </c>
      <c r="Y1014" s="916">
        <v>1</v>
      </c>
      <c r="Z1014" s="969">
        <v>0.05</v>
      </c>
    </row>
    <row r="1015" spans="1:26">
      <c r="A1015" s="963">
        <v>6</v>
      </c>
      <c r="B1015" s="991" t="s">
        <v>62</v>
      </c>
      <c r="C1015" s="991" t="s">
        <v>62</v>
      </c>
      <c r="D1015" s="991" t="s">
        <v>24</v>
      </c>
      <c r="E1015" s="910">
        <v>0.05</v>
      </c>
      <c r="F1015" s="910">
        <v>0.16</v>
      </c>
      <c r="G1015" s="910">
        <v>0.37</v>
      </c>
      <c r="H1015" s="910">
        <v>0.37</v>
      </c>
      <c r="I1015" s="910">
        <v>0.05</v>
      </c>
      <c r="J1015" s="914">
        <v>9000000</v>
      </c>
      <c r="K1015" s="915">
        <v>4.0178571428571432E-2</v>
      </c>
      <c r="L1015" s="915">
        <v>1</v>
      </c>
      <c r="S1015" s="963" t="s">
        <v>87</v>
      </c>
      <c r="T1015" s="910">
        <v>0.2</v>
      </c>
      <c r="U1015" s="910">
        <v>0.8</v>
      </c>
      <c r="V1015" s="910">
        <v>0</v>
      </c>
      <c r="W1015" s="910">
        <v>0</v>
      </c>
      <c r="X1015" s="910">
        <v>0</v>
      </c>
      <c r="Y1015" s="916">
        <v>1</v>
      </c>
      <c r="Z1015" s="969">
        <v>0.26</v>
      </c>
    </row>
    <row r="1016" spans="1:26">
      <c r="A1016" s="963">
        <v>7</v>
      </c>
      <c r="B1016" s="991" t="s">
        <v>471</v>
      </c>
      <c r="C1016" s="991"/>
      <c r="D1016" s="991" t="s">
        <v>24</v>
      </c>
      <c r="E1016" s="910"/>
      <c r="F1016" s="910"/>
      <c r="G1016" s="910"/>
      <c r="H1016" s="910"/>
      <c r="I1016" s="910"/>
      <c r="J1016" s="914">
        <v>0</v>
      </c>
      <c r="K1016" s="915"/>
      <c r="L1016" s="915"/>
      <c r="S1016" s="963" t="s">
        <v>88</v>
      </c>
      <c r="T1016" s="910">
        <v>0.08</v>
      </c>
      <c r="U1016" s="910">
        <v>0.31</v>
      </c>
      <c r="V1016" s="910">
        <v>0.61</v>
      </c>
      <c r="W1016" s="910">
        <v>0</v>
      </c>
      <c r="X1016" s="910">
        <v>0</v>
      </c>
      <c r="Y1016" s="916">
        <v>1</v>
      </c>
      <c r="Z1016" s="969">
        <v>0.67999999999999994</v>
      </c>
    </row>
    <row r="1017" spans="1:26">
      <c r="J1017" s="912">
        <v>180000000</v>
      </c>
      <c r="S1017" s="963" t="s">
        <v>77</v>
      </c>
      <c r="T1017" s="910">
        <v>0</v>
      </c>
      <c r="U1017" s="910">
        <v>1</v>
      </c>
      <c r="V1017" s="910">
        <v>0</v>
      </c>
      <c r="W1017" s="910">
        <v>0</v>
      </c>
      <c r="X1017" s="910">
        <v>0</v>
      </c>
      <c r="Y1017" s="916">
        <v>1</v>
      </c>
      <c r="Z1017" s="969">
        <v>0.21</v>
      </c>
    </row>
    <row r="1018" spans="1:26">
      <c r="Q1018" s="993"/>
      <c r="S1018" s="963" t="s">
        <v>89</v>
      </c>
      <c r="T1018" s="910">
        <v>0</v>
      </c>
      <c r="U1018" s="910">
        <v>0.33</v>
      </c>
      <c r="V1018" s="910">
        <v>0.67</v>
      </c>
      <c r="W1018" s="910">
        <v>0</v>
      </c>
      <c r="X1018" s="910">
        <v>0</v>
      </c>
      <c r="Y1018" s="916">
        <v>1</v>
      </c>
      <c r="Z1018" s="969">
        <v>0.63</v>
      </c>
    </row>
    <row r="1019" spans="1:26">
      <c r="Q1019" s="910"/>
      <c r="S1019" s="963" t="s">
        <v>75</v>
      </c>
      <c r="T1019" s="910">
        <v>0</v>
      </c>
      <c r="U1019" s="910">
        <v>0</v>
      </c>
      <c r="V1019" s="910">
        <v>0.56999999999999995</v>
      </c>
      <c r="W1019" s="910">
        <v>0.36</v>
      </c>
      <c r="X1019" s="910">
        <v>7.0000000000000007E-2</v>
      </c>
      <c r="Y1019" s="916">
        <v>1</v>
      </c>
      <c r="Z1019" s="969">
        <v>0.74</v>
      </c>
    </row>
    <row r="1020" spans="1:26">
      <c r="Q1020" s="910"/>
      <c r="S1020" s="963" t="s">
        <v>90</v>
      </c>
      <c r="T1020" s="910">
        <v>0</v>
      </c>
      <c r="U1020" s="910">
        <v>0.22</v>
      </c>
      <c r="V1020" s="910">
        <v>0.44</v>
      </c>
      <c r="W1020" s="910">
        <v>0.28000000000000003</v>
      </c>
      <c r="X1020" s="910">
        <v>0.06</v>
      </c>
      <c r="Y1020" s="916">
        <v>1</v>
      </c>
      <c r="Z1020" s="969">
        <v>0.95000000000000007</v>
      </c>
    </row>
    <row r="1021" spans="1:26">
      <c r="B1021" s="994" t="s">
        <v>356</v>
      </c>
      <c r="C1021" s="994" t="s">
        <v>23</v>
      </c>
      <c r="E1021" s="963" t="s">
        <v>374</v>
      </c>
      <c r="Q1021" s="910"/>
      <c r="S1021" s="963" t="s">
        <v>91</v>
      </c>
      <c r="T1021" s="910">
        <v>0</v>
      </c>
      <c r="U1021" s="910">
        <v>0</v>
      </c>
      <c r="V1021" s="910">
        <v>0</v>
      </c>
      <c r="W1021" s="910">
        <v>0.83</v>
      </c>
      <c r="X1021" s="910">
        <v>0.17</v>
      </c>
      <c r="Y1021" s="916">
        <v>1</v>
      </c>
      <c r="Z1021" s="969">
        <v>0.32</v>
      </c>
    </row>
    <row r="1022" spans="1:26">
      <c r="B1022" s="968" t="s">
        <v>19</v>
      </c>
      <c r="C1022" s="917">
        <v>1980</v>
      </c>
      <c r="F1022" s="968" t="s">
        <v>97</v>
      </c>
      <c r="G1022" s="968" t="s">
        <v>98</v>
      </c>
      <c r="H1022" s="968" t="s">
        <v>99</v>
      </c>
      <c r="K1022" s="963" t="s">
        <v>100</v>
      </c>
      <c r="Q1022" s="910"/>
      <c r="S1022" s="963" t="s">
        <v>24</v>
      </c>
    </row>
    <row r="1023" spans="1:26">
      <c r="B1023" s="968" t="s">
        <v>20</v>
      </c>
      <c r="C1023" s="917">
        <v>1780</v>
      </c>
      <c r="E1023" s="972" t="s">
        <v>101</v>
      </c>
      <c r="F1023" s="970">
        <v>15</v>
      </c>
      <c r="G1023" s="970">
        <v>2</v>
      </c>
      <c r="H1023" s="970">
        <v>2014</v>
      </c>
      <c r="K1023" s="963">
        <v>41685</v>
      </c>
      <c r="Q1023" s="910"/>
      <c r="R1023" s="963" t="s">
        <v>92</v>
      </c>
    </row>
    <row r="1024" spans="1:26">
      <c r="B1024" s="968" t="s">
        <v>21</v>
      </c>
      <c r="C1024" s="917">
        <v>1131</v>
      </c>
      <c r="Q1024" s="910"/>
      <c r="T1024" s="963" t="s">
        <v>76</v>
      </c>
      <c r="U1024" s="963" t="s">
        <v>77</v>
      </c>
      <c r="V1024" s="963" t="s">
        <v>78</v>
      </c>
      <c r="W1024" s="963" t="s">
        <v>79</v>
      </c>
      <c r="X1024" s="963" t="s">
        <v>80</v>
      </c>
    </row>
    <row r="1025" spans="2:26">
      <c r="B1025" s="968" t="s">
        <v>22</v>
      </c>
      <c r="C1025" s="917">
        <v>881</v>
      </c>
      <c r="Q1025" s="910"/>
      <c r="T1025" s="963" t="s">
        <v>81</v>
      </c>
      <c r="U1025" s="963" t="s">
        <v>82</v>
      </c>
      <c r="V1025" s="963" t="s">
        <v>83</v>
      </c>
      <c r="W1025" s="963" t="s">
        <v>84</v>
      </c>
      <c r="X1025" s="963" t="s">
        <v>85</v>
      </c>
    </row>
    <row r="1026" spans="2:26">
      <c r="S1026" s="963" t="s">
        <v>74</v>
      </c>
      <c r="T1026" s="910">
        <v>0.05</v>
      </c>
      <c r="U1026" s="910">
        <v>0.16</v>
      </c>
      <c r="V1026" s="910">
        <v>0.37</v>
      </c>
      <c r="W1026" s="910">
        <v>0.37</v>
      </c>
      <c r="X1026" s="910">
        <v>0.05</v>
      </c>
      <c r="Y1026" s="916">
        <v>1</v>
      </c>
      <c r="Z1026" s="969">
        <v>1</v>
      </c>
    </row>
    <row r="1027" spans="2:26">
      <c r="S1027" s="963" t="s">
        <v>76</v>
      </c>
      <c r="T1027" s="910">
        <v>1</v>
      </c>
      <c r="U1027" s="910">
        <v>0</v>
      </c>
      <c r="V1027" s="910">
        <v>0</v>
      </c>
      <c r="W1027" s="910">
        <v>0</v>
      </c>
      <c r="X1027" s="910">
        <v>0</v>
      </c>
      <c r="Y1027" s="916">
        <v>1</v>
      </c>
      <c r="Z1027" s="969">
        <v>0.05</v>
      </c>
    </row>
    <row r="1028" spans="2:26">
      <c r="B1028" s="968" t="s">
        <v>378</v>
      </c>
      <c r="C1028" s="970">
        <v>3</v>
      </c>
      <c r="S1028" s="963" t="s">
        <v>87</v>
      </c>
      <c r="T1028" s="910">
        <v>0.25</v>
      </c>
      <c r="U1028" s="910">
        <v>0.75</v>
      </c>
      <c r="V1028" s="910">
        <v>0</v>
      </c>
      <c r="W1028" s="910">
        <v>0</v>
      </c>
      <c r="X1028" s="910">
        <v>0</v>
      </c>
      <c r="Y1028" s="916">
        <v>1</v>
      </c>
      <c r="Z1028" s="969">
        <v>0.21000000000000002</v>
      </c>
    </row>
    <row r="1029" spans="2:26">
      <c r="B1029" s="968" t="s">
        <v>395</v>
      </c>
      <c r="C1029" s="913">
        <v>300000</v>
      </c>
      <c r="S1029" s="963" t="s">
        <v>88</v>
      </c>
      <c r="T1029" s="910">
        <v>0.09</v>
      </c>
      <c r="U1029" s="910">
        <v>0.27</v>
      </c>
      <c r="V1029" s="910">
        <v>0.64</v>
      </c>
      <c r="W1029" s="910">
        <v>0</v>
      </c>
      <c r="X1029" s="910">
        <v>0</v>
      </c>
      <c r="Y1029" s="916">
        <v>1</v>
      </c>
      <c r="Z1029" s="969">
        <v>0.58000000000000007</v>
      </c>
    </row>
    <row r="1030" spans="2:26">
      <c r="E1030" s="963" t="s">
        <v>360</v>
      </c>
      <c r="S1030" s="963" t="s">
        <v>77</v>
      </c>
      <c r="T1030" s="910">
        <v>0</v>
      </c>
      <c r="U1030" s="910">
        <v>1</v>
      </c>
      <c r="V1030" s="910">
        <v>0</v>
      </c>
      <c r="W1030" s="910">
        <v>0</v>
      </c>
      <c r="X1030" s="910">
        <v>0</v>
      </c>
      <c r="Y1030" s="916">
        <v>1</v>
      </c>
      <c r="Z1030" s="969">
        <v>0.16</v>
      </c>
    </row>
    <row r="1031" spans="2:26">
      <c r="B1031" s="968"/>
      <c r="E1031" s="963" t="s">
        <v>354</v>
      </c>
      <c r="H1031" s="995">
        <v>3</v>
      </c>
      <c r="S1031" s="963" t="s">
        <v>89</v>
      </c>
      <c r="T1031" s="910">
        <v>0</v>
      </c>
      <c r="U1031" s="910">
        <v>0.3</v>
      </c>
      <c r="V1031" s="910">
        <v>0.7</v>
      </c>
      <c r="W1031" s="910">
        <v>0</v>
      </c>
      <c r="X1031" s="910">
        <v>0</v>
      </c>
      <c r="Y1031" s="916">
        <v>1</v>
      </c>
      <c r="Z1031" s="969">
        <v>0.53</v>
      </c>
    </row>
    <row r="1032" spans="2:26">
      <c r="B1032" s="972" t="s">
        <v>474</v>
      </c>
      <c r="C1032" s="969">
        <v>0.15</v>
      </c>
      <c r="E1032" s="963" t="s">
        <v>355</v>
      </c>
      <c r="H1032" s="995">
        <v>0.3</v>
      </c>
      <c r="S1032" s="963" t="s">
        <v>75</v>
      </c>
      <c r="T1032" s="910">
        <v>0</v>
      </c>
      <c r="U1032" s="910">
        <v>0</v>
      </c>
      <c r="V1032" s="910">
        <v>0.47</v>
      </c>
      <c r="W1032" s="910">
        <v>0.47</v>
      </c>
      <c r="X1032" s="910">
        <v>0.06</v>
      </c>
      <c r="Y1032" s="916">
        <v>1</v>
      </c>
      <c r="Z1032" s="969">
        <v>0.79</v>
      </c>
    </row>
    <row r="1033" spans="2:26" ht="15.75" customHeight="1">
      <c r="E1033" s="996" t="s">
        <v>381</v>
      </c>
      <c r="F1033" s="996"/>
      <c r="G1033" s="996"/>
      <c r="H1033" s="996"/>
      <c r="S1033" s="963" t="s">
        <v>90</v>
      </c>
      <c r="T1033" s="910">
        <v>0</v>
      </c>
      <c r="U1033" s="910">
        <v>0.17</v>
      </c>
      <c r="V1033" s="910">
        <v>0.39</v>
      </c>
      <c r="W1033" s="910">
        <v>0.39</v>
      </c>
      <c r="X1033" s="910">
        <v>0.05</v>
      </c>
      <c r="Y1033" s="916">
        <v>1</v>
      </c>
      <c r="Z1033" s="969">
        <v>0.95000000000000007</v>
      </c>
    </row>
    <row r="1034" spans="2:26">
      <c r="E1034" s="996"/>
      <c r="F1034" s="996"/>
      <c r="G1034" s="996"/>
      <c r="H1034" s="996"/>
      <c r="S1034" s="963" t="s">
        <v>91</v>
      </c>
      <c r="T1034" s="910">
        <v>0</v>
      </c>
      <c r="U1034" s="910">
        <v>0</v>
      </c>
      <c r="V1034" s="910">
        <v>0</v>
      </c>
      <c r="W1034" s="910">
        <v>0.88</v>
      </c>
      <c r="X1034" s="910">
        <v>0.12</v>
      </c>
      <c r="Y1034" s="916">
        <v>1</v>
      </c>
      <c r="Z1034" s="969">
        <v>0.42</v>
      </c>
    </row>
    <row r="1035" spans="2:26">
      <c r="E1035" s="996"/>
      <c r="F1035" s="996"/>
      <c r="G1035" s="996"/>
      <c r="H1035" s="996"/>
    </row>
    <row r="1036" spans="2:26">
      <c r="E1036" s="963" t="s">
        <v>361</v>
      </c>
      <c r="H1036" s="995">
        <v>1.2</v>
      </c>
    </row>
    <row r="1037" spans="2:26">
      <c r="E1037" s="963" t="s">
        <v>362</v>
      </c>
      <c r="H1037" s="995">
        <v>0.8</v>
      </c>
    </row>
    <row r="1038" spans="2:26">
      <c r="H1038" s="918"/>
    </row>
    <row r="1043" spans="1:26">
      <c r="Z1043" s="916"/>
    </row>
    <row r="1044" spans="1:26">
      <c r="Z1044" s="916"/>
    </row>
    <row r="1045" spans="1:26">
      <c r="Z1045" s="916"/>
    </row>
    <row r="1046" spans="1:26">
      <c r="Z1046" s="916"/>
    </row>
    <row r="1047" spans="1:26">
      <c r="Z1047" s="916"/>
    </row>
    <row r="1048" spans="1:26">
      <c r="Z1048" s="916"/>
    </row>
    <row r="1049" spans="1:26">
      <c r="Z1049" s="916"/>
    </row>
    <row r="1050" spans="1:26">
      <c r="A1050" s="997" t="s">
        <v>373</v>
      </c>
      <c r="Z1050" s="916"/>
    </row>
    <row r="1051" spans="1:26">
      <c r="A1051" s="963" t="s">
        <v>27</v>
      </c>
      <c r="B1051" s="963" t="s">
        <v>4</v>
      </c>
      <c r="Z1051" s="916"/>
    </row>
    <row r="1052" spans="1:26">
      <c r="A1052" s="963" t="s">
        <v>28</v>
      </c>
      <c r="B1052" s="963" t="s">
        <v>11</v>
      </c>
    </row>
    <row r="1053" spans="1:26">
      <c r="A1053" s="963" t="s">
        <v>29</v>
      </c>
      <c r="B1053" s="963" t="s">
        <v>5</v>
      </c>
    </row>
    <row r="1054" spans="1:26">
      <c r="A1054" s="963" t="s">
        <v>30</v>
      </c>
      <c r="B1054" s="963" t="s">
        <v>41</v>
      </c>
    </row>
    <row r="1055" spans="1:26">
      <c r="A1055" s="963" t="s">
        <v>31</v>
      </c>
      <c r="B1055" s="963" t="s">
        <v>42</v>
      </c>
    </row>
    <row r="1056" spans="1:26">
      <c r="A1056" s="963" t="s">
        <v>32</v>
      </c>
      <c r="B1056" s="963" t="s">
        <v>8</v>
      </c>
    </row>
    <row r="1057" spans="1:2">
      <c r="A1057" s="963" t="s">
        <v>33</v>
      </c>
      <c r="B1057" s="963" t="s">
        <v>43</v>
      </c>
    </row>
    <row r="1058" spans="1:2">
      <c r="A1058" s="963" t="s">
        <v>14</v>
      </c>
      <c r="B1058" s="963" t="s">
        <v>44</v>
      </c>
    </row>
    <row r="1059" spans="1:2">
      <c r="A1059" s="963" t="s">
        <v>15</v>
      </c>
      <c r="B1059" s="963" t="s">
        <v>45</v>
      </c>
    </row>
    <row r="1060" spans="1:2">
      <c r="A1060" s="963" t="s">
        <v>16</v>
      </c>
      <c r="B1060" s="963" t="s">
        <v>46</v>
      </c>
    </row>
    <row r="1061" spans="1:2">
      <c r="A1061" s="963" t="s">
        <v>17</v>
      </c>
      <c r="B1061" s="963" t="s">
        <v>47</v>
      </c>
    </row>
    <row r="1062" spans="1:2">
      <c r="A1062" s="963" t="s">
        <v>18</v>
      </c>
      <c r="B1062" s="963" t="s">
        <v>48</v>
      </c>
    </row>
    <row r="1063" spans="1:2">
      <c r="A1063" s="963" t="s">
        <v>34</v>
      </c>
      <c r="B1063" s="963" t="s">
        <v>12</v>
      </c>
    </row>
    <row r="1064" spans="1:2">
      <c r="A1064" s="963" t="s">
        <v>35</v>
      </c>
      <c r="B1064" s="963" t="s">
        <v>7</v>
      </c>
    </row>
    <row r="1065" spans="1:2">
      <c r="A1065" s="963" t="s">
        <v>36</v>
      </c>
      <c r="B1065" s="963" t="s">
        <v>9</v>
      </c>
    </row>
    <row r="1068" spans="1:2">
      <c r="A1068" s="963" t="s">
        <v>37</v>
      </c>
      <c r="B1068" s="963" t="s">
        <v>10</v>
      </c>
    </row>
    <row r="1069" spans="1:2">
      <c r="A1069" s="963" t="s">
        <v>38</v>
      </c>
      <c r="B1069" s="963" t="s">
        <v>40</v>
      </c>
    </row>
    <row r="1070" spans="1:2">
      <c r="A1070" s="963" t="s">
        <v>39</v>
      </c>
      <c r="B1070" s="963" t="s">
        <v>13</v>
      </c>
    </row>
  </sheetData>
  <sheetProtection algorithmName="SHA-512" hashValue="6n+GY9kqGBNpTDHjJzilY+EERNprFGMB1fpm2D+2qYokhWmjFe+LbHekq2SS6gVT264K446ThyLtRFrt1by3yA==" saltValue="lbMzmg6+Wn9VIfBYc8QB5w==" spinCount="100000" sheet="1" selectLockedCells="1" selectUnlockedCells="1"/>
  <mergeCells count="1">
    <mergeCell ref="A13:B13"/>
  </mergeCells>
  <phoneticPr fontId="48" type="noConversion"/>
  <conditionalFormatting sqref="C13">
    <cfRule type="cellIs" dxfId="1" priority="53" operator="equal">
      <formula>"None"</formula>
    </cfRule>
  </conditionalFormatting>
  <conditionalFormatting sqref="C1028">
    <cfRule type="cellIs" dxfId="0" priority="44" operator="equal">
      <formula>"None"</formula>
    </cfRule>
  </conditionalFormatting>
  <dataValidations count="4">
    <dataValidation type="list" allowBlank="1" showInputMessage="1" showErrorMessage="1" sqref="C1028" xr:uid="{00000000-0002-0000-1700-000000000000}">
      <formula1>"1,2,3"</formula1>
    </dataValidation>
    <dataValidation type="whole" allowBlank="1" showInputMessage="1" showErrorMessage="1" errorTitle="Year " error="Year must contain both century and decade (eg. 2010)" sqref="H1023" xr:uid="{00000000-0002-0000-1700-000001000000}">
      <formula1>0</formula1>
      <formula2>9999</formula2>
    </dataValidation>
    <dataValidation type="whole" allowBlank="1" showInputMessage="1" showErrorMessage="1" errorTitle="Month" error="Must be a number between 1 and 12" sqref="G1023" xr:uid="{00000000-0002-0000-1700-000002000000}">
      <formula1>0</formula1>
      <formula2>12</formula2>
    </dataValidation>
    <dataValidation type="whole" allowBlank="1" showInputMessage="1" showErrorMessage="1" errorTitle="Day" error="Must be a number between 1 and 31 " promptTitle="INPUT THE DAY OF THE MONTH" sqref="F1023" xr:uid="{00000000-0002-0000-1700-000003000000}">
      <formula1>1</formula1>
      <formula2>31</formula2>
    </dataValidation>
  </dataValidations>
  <pageMargins left="0.7" right="0.7" top="0.75" bottom="0.75" header="0.3" footer="0.3"/>
  <headerFooter>
    <oddHeader>&amp;L&amp;"Calibri"&amp;10&amp;K000000 Sensitivity - General&amp;1#_x000D_</oddHead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19</vt:i4>
      </vt:variant>
    </vt:vector>
  </HeadingPairs>
  <TitlesOfParts>
    <vt:vector size="47" baseType="lpstr">
      <vt:lpstr>TENDERER INPUT DATA</vt:lpstr>
      <vt:lpstr>PROJECT INPUT DATA</vt:lpstr>
      <vt:lpstr>RRM Pricing Schedule</vt:lpstr>
      <vt:lpstr>CE &amp; Other Hours</vt:lpstr>
      <vt:lpstr>FORM C2.4 FIN</vt:lpstr>
      <vt:lpstr>Notes</vt:lpstr>
      <vt:lpstr>F1 Forecast Combined</vt:lpstr>
      <vt:lpstr>F1 Forecast Consultant</vt:lpstr>
      <vt:lpstr>F1 Forecast Contractor</vt:lpstr>
      <vt:lpstr>F1  Cover</vt:lpstr>
      <vt:lpstr>Pg 1 Payment</vt:lpstr>
      <vt:lpstr>Pg 2 Sum Scheduled</vt:lpstr>
      <vt:lpstr>Pg 3 Travel</vt:lpstr>
      <vt:lpstr>Pg 5 Add. Duties</vt:lpstr>
      <vt:lpstr>Pg 4 P Sums</vt:lpstr>
      <vt:lpstr>Pg 6 WAF with CPI</vt:lpstr>
      <vt:lpstr>Pg 7 WAF No CPI</vt:lpstr>
      <vt:lpstr>Pg 8 Penalties</vt:lpstr>
      <vt:lpstr>Pg 9 CPI</vt:lpstr>
      <vt:lpstr>3200</vt:lpstr>
      <vt:lpstr>3300</vt:lpstr>
      <vt:lpstr>3400</vt:lpstr>
      <vt:lpstr>3500</vt:lpstr>
      <vt:lpstr>3600</vt:lpstr>
      <vt:lpstr>3700</vt:lpstr>
      <vt:lpstr>3800</vt:lpstr>
      <vt:lpstr>Travel Log</vt:lpstr>
      <vt:lpstr>DATA</vt:lpstr>
      <vt:lpstr>'RRM Pricing Schedule'!_Toc129491471</vt:lpstr>
      <vt:lpstr>'RRM Pricing Schedule'!_Toc129491882</vt:lpstr>
      <vt:lpstr>'RRM Pricing Schedule'!_Toc396298216</vt:lpstr>
      <vt:lpstr>'F1  Cover'!Print_Area</vt:lpstr>
      <vt:lpstr>'F1 Forecast Combined'!Print_Area</vt:lpstr>
      <vt:lpstr>'F1 Forecast Consultant'!Print_Area</vt:lpstr>
      <vt:lpstr>'F1 Forecast Contractor'!Print_Area</vt:lpstr>
      <vt:lpstr>'Pg 1 Payment'!Print_Area</vt:lpstr>
      <vt:lpstr>'Pg 9 CPI'!Print_Area</vt:lpstr>
      <vt:lpstr>'Travel Log'!Print_Area</vt:lpstr>
      <vt:lpstr>'3300'!Print_Titles</vt:lpstr>
      <vt:lpstr>'3400'!Print_Titles</vt:lpstr>
      <vt:lpstr>'3500'!Print_Titles</vt:lpstr>
      <vt:lpstr>'3600'!Print_Titles</vt:lpstr>
      <vt:lpstr>'3700'!Print_Titles</vt:lpstr>
      <vt:lpstr>'3800'!Print_Titles</vt:lpstr>
      <vt:lpstr>'CE &amp; Other Hours'!Print_Titles</vt:lpstr>
      <vt:lpstr>'Pg 3 Travel'!Print_Titles</vt:lpstr>
      <vt:lpstr>'RRM Pricing Schedule'!Print_Titles</vt:lpstr>
    </vt:vector>
  </TitlesOfParts>
  <Company>The SA National Roads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Thabo Mahlakwana (LP)</cp:lastModifiedBy>
  <cp:lastPrinted>2026-08-12T17:36:31Z</cp:lastPrinted>
  <dcterms:created xsi:type="dcterms:W3CDTF">2014-06-28T11:16:13Z</dcterms:created>
  <dcterms:modified xsi:type="dcterms:W3CDTF">2026-08-25T13:36:06Z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024da7-7918-49c2-a744-b84d0bf2c679_Enabled">
    <vt:lpwstr>true</vt:lpwstr>
  </property>
  <property fmtid="{D5CDD505-2E9C-101B-9397-08002B2CF9AE}" pid="3" name="MSIP_Label_5a024da7-7918-49c2-a744-b84d0bf2c679_SetDate">
    <vt:lpwstr>2023-06-08T11:11:29Z</vt:lpwstr>
  </property>
  <property fmtid="{D5CDD505-2E9C-101B-9397-08002B2CF9AE}" pid="4" name="MSIP_Label_5a024da7-7918-49c2-a744-b84d0bf2c679_Method">
    <vt:lpwstr>Standard</vt:lpwstr>
  </property>
  <property fmtid="{D5CDD505-2E9C-101B-9397-08002B2CF9AE}" pid="5" name="MSIP_Label_5a024da7-7918-49c2-a744-b84d0bf2c679_Name">
    <vt:lpwstr>General</vt:lpwstr>
  </property>
  <property fmtid="{D5CDD505-2E9C-101B-9397-08002B2CF9AE}" pid="6" name="MSIP_Label_5a024da7-7918-49c2-a744-b84d0bf2c679_SiteId">
    <vt:lpwstr>24236235-bb51-454e-8f47-206699c7e33b</vt:lpwstr>
  </property>
  <property fmtid="{D5CDD505-2E9C-101B-9397-08002B2CF9AE}" pid="7" name="MSIP_Label_5a024da7-7918-49c2-a744-b84d0bf2c679_ActionId">
    <vt:lpwstr>22e27c9d-6510-483c-9a8d-1beca44611ab</vt:lpwstr>
  </property>
  <property fmtid="{D5CDD505-2E9C-101B-9397-08002B2CF9AE}" pid="8" name="MSIP_Label_5a024da7-7918-49c2-a744-b84d0bf2c679_ContentBits">
    <vt:lpwstr>1</vt:lpwstr>
  </property>
</Properties>
</file>